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Y DC CONSULTING GROUP\Clients\City of Springfield\Provider Search\Transmittal\"/>
    </mc:Choice>
  </mc:AlternateContent>
  <xr:revisionPtr revIDLastSave="0" documentId="13_ncr:1_{F9355450-E746-4934-A2B5-C31E10C797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resentative Lineup" sheetId="11" r:id="rId1"/>
    <sheet name="Plan_Data" sheetId="2" r:id="rId2"/>
    <sheet name="Sheet5" sheetId="12" state="hidden" r:id="rId3"/>
    <sheet name="ogsp" sheetId="7" state="hidden" r:id="rId4"/>
    <sheet name="ICMA" sheetId="5" state="hidden" r:id="rId5"/>
    <sheet name="voya" sheetId="6" state="hidden" r:id="rId6"/>
  </sheets>
  <externalReferences>
    <externalReference r:id="rId7"/>
    <externalReference r:id="rId8"/>
  </externalReferences>
  <definedNames>
    <definedName name="_xlnm._FilterDatabase" localSheetId="4" hidden="1">ICMA!$A$1:$E$45</definedName>
    <definedName name="_xlnm._FilterDatabase" localSheetId="2" hidden="1">Sheet5!$A$1:$A$39</definedName>
    <definedName name="_xlnm._FilterDatabase" localSheetId="5" hidden="1">voya!$A$1:$D$1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1" l="1"/>
  <c r="D32" i="11"/>
  <c r="D31" i="11"/>
  <c r="D30" i="11"/>
  <c r="D29" i="11"/>
  <c r="D28" i="11"/>
  <c r="D27" i="11"/>
  <c r="G26" i="11"/>
  <c r="D24" i="11"/>
  <c r="D23" i="11"/>
  <c r="D22" i="11"/>
  <c r="D21" i="11"/>
  <c r="D20" i="11"/>
  <c r="D19" i="11"/>
  <c r="D18" i="11"/>
  <c r="G4" i="7" s="1"/>
  <c r="D17" i="11"/>
  <c r="D16" i="11"/>
  <c r="D15" i="11"/>
  <c r="D14" i="11"/>
  <c r="D13" i="11"/>
  <c r="D12" i="11"/>
  <c r="D11" i="11"/>
  <c r="D10" i="11"/>
  <c r="D9" i="11"/>
  <c r="D8" i="11"/>
  <c r="D7" i="11"/>
  <c r="D6" i="11"/>
  <c r="G14" i="7"/>
  <c r="G13" i="7"/>
  <c r="G12" i="7"/>
  <c r="G11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G2" i="7"/>
  <c r="G22" i="7"/>
  <c r="G21" i="7"/>
  <c r="G10" i="7"/>
  <c r="G9" i="7"/>
  <c r="G8" i="7"/>
  <c r="G7" i="7"/>
  <c r="G6" i="7"/>
  <c r="G5" i="7"/>
  <c r="G19" i="7"/>
  <c r="G20" i="7"/>
  <c r="G9" i="11"/>
  <c r="G18" i="7"/>
  <c r="G17" i="7"/>
  <c r="D5" i="11"/>
  <c r="G16" i="7" s="1"/>
  <c r="C38" i="7"/>
  <c r="C43" i="7"/>
  <c r="F29" i="11"/>
  <c r="F33" i="11"/>
  <c r="F32" i="11"/>
  <c r="F28" i="11"/>
  <c r="F27" i="11"/>
  <c r="F16" i="11"/>
  <c r="F14" i="11"/>
  <c r="F13" i="11"/>
  <c r="F12" i="11"/>
  <c r="F11" i="11"/>
  <c r="F10" i="11"/>
  <c r="F9" i="11"/>
  <c r="F8" i="11"/>
  <c r="F7" i="11"/>
  <c r="F6" i="11"/>
  <c r="F5" i="11"/>
  <c r="G30" i="6"/>
  <c r="G29" i="6"/>
  <c r="G31" i="6" s="1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7" i="6"/>
  <c r="E45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2" i="6"/>
  <c r="D55" i="6"/>
  <c r="D53" i="6"/>
  <c r="D42" i="6"/>
  <c r="D22" i="6"/>
  <c r="D28" i="6"/>
  <c r="D41" i="6"/>
  <c r="D46" i="6"/>
  <c r="D37" i="6"/>
  <c r="D36" i="6"/>
  <c r="D27" i="6"/>
  <c r="D68" i="6"/>
  <c r="D16" i="6"/>
  <c r="D49" i="6"/>
  <c r="D40" i="6"/>
  <c r="D45" i="6"/>
  <c r="D6" i="6"/>
  <c r="D35" i="6"/>
  <c r="D34" i="6"/>
  <c r="D33" i="6"/>
  <c r="D65" i="6"/>
  <c r="D63" i="6"/>
  <c r="D61" i="6"/>
  <c r="D59" i="6"/>
  <c r="D58" i="6"/>
  <c r="D52" i="6"/>
  <c r="D51" i="6"/>
  <c r="D39" i="6"/>
  <c r="D57" i="6"/>
  <c r="D21" i="6"/>
  <c r="D3" i="6"/>
  <c r="D10" i="6"/>
  <c r="D9" i="6"/>
  <c r="D50" i="6"/>
  <c r="D38" i="6"/>
  <c r="D15" i="6"/>
  <c r="D14" i="6"/>
  <c r="D13" i="6"/>
  <c r="D47" i="6"/>
  <c r="D66" i="6"/>
  <c r="D56" i="6"/>
  <c r="D32" i="6"/>
  <c r="D48" i="6"/>
  <c r="D44" i="6"/>
  <c r="D7" i="6"/>
  <c r="D12" i="6"/>
  <c r="D26" i="6"/>
  <c r="D8" i="6"/>
  <c r="D31" i="6"/>
  <c r="D25" i="6"/>
  <c r="D43" i="6"/>
  <c r="D24" i="6"/>
  <c r="D20" i="6"/>
  <c r="D2" i="6"/>
  <c r="D54" i="6"/>
  <c r="D5" i="6"/>
  <c r="D19" i="6"/>
  <c r="D23" i="6"/>
  <c r="D18" i="6"/>
  <c r="D30" i="6"/>
  <c r="D11" i="6"/>
  <c r="D67" i="6"/>
  <c r="D17" i="6"/>
  <c r="D4" i="6"/>
  <c r="D29" i="6"/>
  <c r="E29" i="11"/>
  <c r="E28" i="11"/>
  <c r="E27" i="11"/>
  <c r="E13" i="11"/>
  <c r="E12" i="11"/>
  <c r="G12" i="11" s="1"/>
  <c r="E11" i="11"/>
  <c r="E10" i="11"/>
  <c r="E7" i="11"/>
  <c r="E6" i="11"/>
  <c r="E5" i="11"/>
  <c r="E46" i="5"/>
  <c r="G24" i="5"/>
  <c r="G44" i="5"/>
  <c r="G43" i="5"/>
  <c r="G42" i="5"/>
  <c r="G38" i="5"/>
  <c r="G37" i="5"/>
  <c r="G18" i="5"/>
  <c r="G32" i="5"/>
  <c r="G31" i="5"/>
  <c r="G30" i="5"/>
  <c r="G28" i="5"/>
  <c r="G27" i="5"/>
  <c r="G25" i="5"/>
  <c r="G22" i="5"/>
  <c r="G21" i="5"/>
  <c r="G20" i="5"/>
  <c r="G16" i="5"/>
  <c r="G15" i="5"/>
  <c r="G31" i="11"/>
  <c r="G30" i="11"/>
  <c r="A1" i="11"/>
  <c r="E67" i="12"/>
  <c r="C67" i="12"/>
  <c r="E66" i="12"/>
  <c r="C66" i="12"/>
  <c r="E65" i="12"/>
  <c r="C65" i="12"/>
  <c r="E64" i="12"/>
  <c r="C64" i="12"/>
  <c r="E63" i="12"/>
  <c r="C63" i="12"/>
  <c r="E62" i="12"/>
  <c r="C62" i="12"/>
  <c r="E61" i="12"/>
  <c r="C61" i="12"/>
  <c r="E60" i="12"/>
  <c r="C6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3" i="12"/>
  <c r="B22" i="12"/>
  <c r="B20" i="12"/>
  <c r="B19" i="12"/>
  <c r="B18" i="12"/>
  <c r="B17" i="12"/>
  <c r="B16" i="12"/>
  <c r="B13" i="12"/>
  <c r="B14" i="12"/>
  <c r="B15" i="12"/>
  <c r="B12" i="12"/>
  <c r="B11" i="12"/>
  <c r="E3" i="12"/>
  <c r="E4" i="12"/>
  <c r="E5" i="12"/>
  <c r="E6" i="12"/>
  <c r="E57" i="12" s="1"/>
  <c r="E7" i="12"/>
  <c r="E8" i="12"/>
  <c r="E9" i="12"/>
  <c r="E10" i="12"/>
  <c r="E11" i="12"/>
  <c r="E72" i="12" s="1"/>
  <c r="E12" i="12"/>
  <c r="E49" i="12" s="1"/>
  <c r="E13" i="12"/>
  <c r="E50" i="12" s="1"/>
  <c r="E14" i="12"/>
  <c r="E48" i="12" s="1"/>
  <c r="E15" i="12"/>
  <c r="E75" i="12" s="1"/>
  <c r="E16" i="12"/>
  <c r="E52" i="12" s="1"/>
  <c r="E17" i="12"/>
  <c r="E53" i="12" s="1"/>
  <c r="E18" i="12"/>
  <c r="E51" i="12" s="1"/>
  <c r="E19" i="12"/>
  <c r="E76" i="12" s="1"/>
  <c r="E20" i="12"/>
  <c r="E21" i="12"/>
  <c r="E22" i="12"/>
  <c r="E71" i="12" s="1"/>
  <c r="E23" i="12"/>
  <c r="E74" i="12" s="1"/>
  <c r="E24" i="12"/>
  <c r="E25" i="12"/>
  <c r="E55" i="12" s="1"/>
  <c r="E26" i="12"/>
  <c r="E56" i="12" s="1"/>
  <c r="E27" i="12"/>
  <c r="E54" i="12" s="1"/>
  <c r="E28" i="12"/>
  <c r="E37" i="12"/>
  <c r="E68" i="12" s="1"/>
  <c r="E38" i="12"/>
  <c r="E69" i="12" s="1"/>
  <c r="E39" i="12"/>
  <c r="E70" i="12" s="1"/>
  <c r="E40" i="12"/>
  <c r="E41" i="12"/>
  <c r="E42" i="12"/>
  <c r="E2" i="12"/>
  <c r="E59" i="12" s="1"/>
  <c r="F24" i="7" l="1"/>
  <c r="F26" i="7" s="1"/>
  <c r="H19" i="7"/>
  <c r="H4" i="7"/>
  <c r="H20" i="7"/>
  <c r="H5" i="7"/>
  <c r="H21" i="7"/>
  <c r="H6" i="7"/>
  <c r="H8" i="7"/>
  <c r="H17" i="7"/>
  <c r="H2" i="7"/>
  <c r="H10" i="7"/>
  <c r="H7" i="7"/>
  <c r="G15" i="7"/>
  <c r="H15" i="7" s="1"/>
  <c r="H16" i="7"/>
  <c r="H9" i="7"/>
  <c r="H18" i="7"/>
  <c r="G3" i="7"/>
  <c r="H3" i="7" s="1"/>
  <c r="H22" i="7"/>
  <c r="G27" i="11"/>
  <c r="F23" i="11"/>
  <c r="F18" i="11"/>
  <c r="F25" i="11"/>
  <c r="G25" i="11" s="1"/>
  <c r="F24" i="11"/>
  <c r="F17" i="11"/>
  <c r="F21" i="11"/>
  <c r="F20" i="11"/>
  <c r="F22" i="11"/>
  <c r="E58" i="12"/>
  <c r="E73" i="12"/>
  <c r="E77" i="12"/>
  <c r="G6" i="11"/>
  <c r="G13" i="11"/>
  <c r="G28" i="11"/>
  <c r="E14" i="11"/>
  <c r="G14" i="11" s="1"/>
  <c r="G17" i="5"/>
  <c r="E33" i="11"/>
  <c r="G33" i="11" s="1"/>
  <c r="E8" i="11"/>
  <c r="G8" i="11" s="1"/>
  <c r="I14" i="5"/>
  <c r="I15" i="5" s="1"/>
  <c r="G45" i="5"/>
  <c r="G10" i="11"/>
  <c r="G34" i="5"/>
  <c r="G7" i="5"/>
  <c r="G11" i="11"/>
  <c r="G35" i="5"/>
  <c r="G39" i="5"/>
  <c r="G40" i="5"/>
  <c r="G29" i="5"/>
  <c r="G41" i="5"/>
  <c r="G5" i="11"/>
  <c r="E32" i="11"/>
  <c r="G32" i="11" s="1"/>
  <c r="E15" i="11"/>
  <c r="G23" i="5"/>
  <c r="G7" i="11"/>
  <c r="G4" i="5"/>
  <c r="G12" i="5"/>
  <c r="G5" i="5"/>
  <c r="G13" i="5"/>
  <c r="G19" i="5"/>
  <c r="G6" i="5"/>
  <c r="G26" i="5"/>
  <c r="G8" i="5"/>
  <c r="G33" i="5"/>
  <c r="G36" i="5"/>
  <c r="G9" i="5"/>
  <c r="G10" i="5"/>
  <c r="G3" i="5"/>
  <c r="G11" i="5"/>
  <c r="G14" i="5"/>
  <c r="E16" i="11"/>
  <c r="G16" i="11" s="1"/>
  <c r="E44" i="12"/>
  <c r="D6" i="5"/>
  <c r="C13" i="12" s="1"/>
  <c r="C50" i="12" s="1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D35" i="11" l="1"/>
  <c r="G29" i="11"/>
  <c r="D41" i="12"/>
  <c r="D33" i="12"/>
  <c r="D64" i="12" s="1"/>
  <c r="D40" i="12"/>
  <c r="D32" i="12"/>
  <c r="D63" i="12" s="1"/>
  <c r="D39" i="12"/>
  <c r="D70" i="12" s="1"/>
  <c r="D31" i="12"/>
  <c r="D62" i="12" s="1"/>
  <c r="D23" i="12"/>
  <c r="D74" i="12" s="1"/>
  <c r="D15" i="12"/>
  <c r="D75" i="12" s="1"/>
  <c r="D7" i="12"/>
  <c r="D28" i="12"/>
  <c r="D4" i="12"/>
  <c r="D27" i="12"/>
  <c r="D54" i="12" s="1"/>
  <c r="D3" i="12"/>
  <c r="D26" i="12"/>
  <c r="D56" i="12" s="1"/>
  <c r="D18" i="12"/>
  <c r="D51" i="12" s="1"/>
  <c r="D25" i="12"/>
  <c r="D55" i="12" s="1"/>
  <c r="D9" i="12"/>
  <c r="D8" i="12"/>
  <c r="D38" i="12"/>
  <c r="D69" i="12" s="1"/>
  <c r="D30" i="12"/>
  <c r="D61" i="12" s="1"/>
  <c r="D22" i="12"/>
  <c r="D71" i="12" s="1"/>
  <c r="D14" i="12"/>
  <c r="D48" i="12" s="1"/>
  <c r="D6" i="12"/>
  <c r="D57" i="12" s="1"/>
  <c r="D12" i="12"/>
  <c r="D49" i="12" s="1"/>
  <c r="D35" i="12"/>
  <c r="D66" i="12" s="1"/>
  <c r="D34" i="12"/>
  <c r="D65" i="12" s="1"/>
  <c r="D2" i="12"/>
  <c r="D24" i="12"/>
  <c r="D37" i="12"/>
  <c r="D68" i="12" s="1"/>
  <c r="D29" i="12"/>
  <c r="D60" i="12" s="1"/>
  <c r="D21" i="12"/>
  <c r="D13" i="12"/>
  <c r="D50" i="12" s="1"/>
  <c r="D5" i="12"/>
  <c r="D20" i="12"/>
  <c r="D19" i="12"/>
  <c r="D76" i="12" s="1"/>
  <c r="D11" i="12"/>
  <c r="D72" i="12" s="1"/>
  <c r="D42" i="12"/>
  <c r="D10" i="12"/>
  <c r="D17" i="12"/>
  <c r="D53" i="12" s="1"/>
  <c r="D16" i="12"/>
  <c r="D52" i="12" s="1"/>
  <c r="D36" i="12"/>
  <c r="D67" i="12" s="1"/>
  <c r="E24" i="11"/>
  <c r="E23" i="11"/>
  <c r="G23" i="11" s="1"/>
  <c r="E22" i="11"/>
  <c r="E21" i="11"/>
  <c r="E20" i="11"/>
  <c r="G20" i="11" s="1"/>
  <c r="E17" i="11"/>
  <c r="E19" i="11"/>
  <c r="E18" i="11"/>
  <c r="G18" i="11" s="1"/>
  <c r="F15" i="11"/>
  <c r="E3" i="6"/>
  <c r="C69" i="6"/>
  <c r="C70" i="6" s="1"/>
  <c r="E79" i="12"/>
  <c r="E80" i="12" s="1"/>
  <c r="G2" i="5"/>
  <c r="G22" i="11"/>
  <c r="G21" i="11"/>
  <c r="G19" i="11"/>
  <c r="G24" i="11"/>
  <c r="C7" i="12"/>
  <c r="C28" i="12"/>
  <c r="C19" i="12"/>
  <c r="C76" i="12" s="1"/>
  <c r="C5" i="12"/>
  <c r="C16" i="12"/>
  <c r="C52" i="12" s="1"/>
  <c r="C20" i="12"/>
  <c r="C27" i="12"/>
  <c r="C54" i="12" s="1"/>
  <c r="C18" i="12"/>
  <c r="C51" i="12" s="1"/>
  <c r="C4" i="12"/>
  <c r="C24" i="12"/>
  <c r="C42" i="12"/>
  <c r="C25" i="12"/>
  <c r="C55" i="12" s="1"/>
  <c r="C17" i="12"/>
  <c r="C53" i="12" s="1"/>
  <c r="C2" i="12"/>
  <c r="C8" i="12"/>
  <c r="C41" i="12"/>
  <c r="C3" i="12"/>
  <c r="C40" i="12"/>
  <c r="C23" i="12"/>
  <c r="C74" i="12" s="1"/>
  <c r="C15" i="12"/>
  <c r="C75" i="12" s="1"/>
  <c r="C39" i="12"/>
  <c r="C70" i="12" s="1"/>
  <c r="C22" i="12"/>
  <c r="C71" i="12" s="1"/>
  <c r="C10" i="12"/>
  <c r="C12" i="12"/>
  <c r="C49" i="12" s="1"/>
  <c r="C38" i="12"/>
  <c r="C69" i="12" s="1"/>
  <c r="C21" i="12"/>
  <c r="C9" i="12"/>
  <c r="C37" i="12"/>
  <c r="C68" i="12" s="1"/>
  <c r="C6" i="12"/>
  <c r="C57" i="12" s="1"/>
  <c r="C26" i="12"/>
  <c r="C56" i="12" s="1"/>
  <c r="C14" i="12"/>
  <c r="C48" i="12" s="1"/>
  <c r="C11" i="12"/>
  <c r="C72" i="12" s="1"/>
  <c r="F46" i="5"/>
  <c r="H45" i="5"/>
  <c r="H37" i="5"/>
  <c r="H29" i="5"/>
  <c r="H21" i="5"/>
  <c r="H13" i="5"/>
  <c r="H5" i="5"/>
  <c r="H44" i="5"/>
  <c r="H36" i="5"/>
  <c r="H28" i="5"/>
  <c r="H20" i="5"/>
  <c r="H12" i="5"/>
  <c r="H4" i="5"/>
  <c r="H30" i="5"/>
  <c r="H43" i="5"/>
  <c r="H35" i="5"/>
  <c r="H27" i="5"/>
  <c r="H19" i="5"/>
  <c r="H11" i="5"/>
  <c r="H3" i="5"/>
  <c r="H42" i="5"/>
  <c r="H34" i="5"/>
  <c r="H26" i="5"/>
  <c r="H18" i="5"/>
  <c r="H10" i="5"/>
  <c r="H2" i="5"/>
  <c r="H6" i="5"/>
  <c r="H41" i="5"/>
  <c r="H33" i="5"/>
  <c r="H25" i="5"/>
  <c r="H17" i="5"/>
  <c r="H9" i="5"/>
  <c r="H40" i="5"/>
  <c r="H32" i="5"/>
  <c r="H24" i="5"/>
  <c r="H16" i="5"/>
  <c r="H8" i="5"/>
  <c r="H38" i="5"/>
  <c r="H14" i="5"/>
  <c r="H39" i="5"/>
  <c r="H31" i="5"/>
  <c r="H23" i="5"/>
  <c r="H15" i="5"/>
  <c r="H7" i="5"/>
  <c r="H22" i="5"/>
  <c r="D37" i="2"/>
  <c r="D36" i="2"/>
  <c r="D25" i="2"/>
  <c r="D24" i="2"/>
  <c r="D11" i="2"/>
  <c r="D10" i="2"/>
  <c r="D5" i="2"/>
  <c r="B5" i="2"/>
  <c r="F27" i="7" l="1"/>
  <c r="D77" i="12"/>
  <c r="D59" i="12"/>
  <c r="D44" i="12"/>
  <c r="D45" i="12" s="1"/>
  <c r="D58" i="12"/>
  <c r="D73" i="12"/>
  <c r="C5" i="2"/>
  <c r="E5" i="2" s="1"/>
  <c r="G15" i="11"/>
  <c r="F35" i="11"/>
  <c r="E45" i="12"/>
  <c r="G17" i="11"/>
  <c r="E35" i="11"/>
  <c r="C77" i="12"/>
  <c r="C59" i="12"/>
  <c r="C73" i="12"/>
  <c r="C58" i="12"/>
  <c r="E37" i="2"/>
  <c r="E36" i="2"/>
  <c r="E35" i="2"/>
  <c r="E34" i="2"/>
  <c r="E33" i="2"/>
  <c r="E32" i="2"/>
  <c r="E31" i="2"/>
  <c r="E25" i="2"/>
  <c r="E24" i="2"/>
  <c r="E23" i="2"/>
  <c r="E22" i="2"/>
  <c r="E21" i="2"/>
  <c r="E20" i="2"/>
  <c r="E19" i="2"/>
  <c r="E11" i="2"/>
  <c r="E10" i="2"/>
  <c r="E9" i="2"/>
  <c r="E8" i="2"/>
  <c r="E7" i="2"/>
  <c r="E6" i="2"/>
  <c r="A17" i="2"/>
  <c r="A29" i="2" s="1"/>
  <c r="G35" i="11" l="1"/>
  <c r="D79" i="12"/>
  <c r="D80" i="12" s="1"/>
  <c r="C79" i="12"/>
  <c r="A15" i="2"/>
  <c r="A27" i="2"/>
  <c r="C44" i="12" l="1"/>
  <c r="C45" i="12" l="1"/>
  <c r="C8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Zima</author>
  </authors>
  <commentList>
    <comment ref="C9" authorId="0" shapeId="0" xr:uid="{50231B79-48FE-47CF-9345-A135FF3E2BF6}">
      <text>
        <r>
          <rPr>
            <b/>
            <sz val="9"/>
            <color indexed="81"/>
            <rFont val="Tahoma"/>
            <family val="2"/>
          </rPr>
          <t>Brandon Zima:</t>
        </r>
        <r>
          <rPr>
            <sz val="9"/>
            <color indexed="81"/>
            <rFont val="Tahoma"/>
            <family val="2"/>
          </rPr>
          <t xml:space="preserve">
whole plan year</t>
        </r>
      </text>
    </comment>
    <comment ref="C10" authorId="0" shapeId="0" xr:uid="{6F99B003-D188-44C0-AB91-6ABA95E5D22F}">
      <text>
        <r>
          <rPr>
            <b/>
            <sz val="9"/>
            <color indexed="81"/>
            <rFont val="Tahoma"/>
            <family val="2"/>
          </rPr>
          <t>Brandon Zima:</t>
        </r>
        <r>
          <rPr>
            <sz val="9"/>
            <color indexed="81"/>
            <rFont val="Tahoma"/>
            <family val="2"/>
          </rPr>
          <t xml:space="preserve">
whole plan year</t>
        </r>
      </text>
    </comment>
  </commentList>
</comments>
</file>

<file path=xl/sharedStrings.xml><?xml version="1.0" encoding="utf-8"?>
<sst xmlns="http://schemas.openxmlformats.org/spreadsheetml/2006/main" count="737" uniqueCount="336">
  <si>
    <t>Ticker</t>
  </si>
  <si>
    <t>Plan Asset, Financial, Employee and Participant Data</t>
  </si>
  <si>
    <t>Plan Assets</t>
  </si>
  <si>
    <t>Total active participants w/ balance</t>
  </si>
  <si>
    <t>Total terminated participants w/ balance</t>
  </si>
  <si>
    <t>Loan Balance</t>
  </si>
  <si>
    <t>Voya</t>
  </si>
  <si>
    <t>TOTAL</t>
  </si>
  <si>
    <t>Assets can be transferred at ER Discretion?</t>
  </si>
  <si>
    <t>Contributions (2020)</t>
  </si>
  <si>
    <t>Distributions (2020)</t>
  </si>
  <si>
    <t>ICMA</t>
  </si>
  <si>
    <t>Oregon Growth and Savings Plan</t>
  </si>
  <si>
    <t>Assets</t>
  </si>
  <si>
    <t>Voya Intermediate Bond Port I</t>
  </si>
  <si>
    <t>Total</t>
  </si>
  <si>
    <t>City of Springfield 457 Deferred Compensation Plan</t>
  </si>
  <si>
    <t>Vantagepoint Milestone 2020 Fund</t>
  </si>
  <si>
    <t>Vantagepoint Milestone 2025 Fund</t>
  </si>
  <si>
    <t>Vantagepoint Milestone 2030 Fund</t>
  </si>
  <si>
    <t>Vantagepoint Milestone 2035 Fund</t>
  </si>
  <si>
    <t>Vantagepoint Milestone 2040 Fund</t>
  </si>
  <si>
    <t>Vantagepoint Milestone 2045 Fund</t>
  </si>
  <si>
    <t>Vantagepoint Milestone 2050 Fund</t>
  </si>
  <si>
    <t>Vantagepoint Milestone 2055 Fund</t>
  </si>
  <si>
    <t>Vantagepoint Milestone Retirement Income Fund</t>
  </si>
  <si>
    <t>Vantagepoint Model Portfolio Global Equity Growth Fund</t>
  </si>
  <si>
    <t>Vantagepoint Model Portfolio Long-Term Growth Fund</t>
  </si>
  <si>
    <t>Vantagepoint Model Portfolio Traditional Growth Fund</t>
  </si>
  <si>
    <t>VT Puritan® Fund</t>
  </si>
  <si>
    <t>Vantagepoint Core Bond Index Fund</t>
  </si>
  <si>
    <t>Vantagepoint Inflation Focused Fund</t>
  </si>
  <si>
    <t>VT PIMCO High Yield Fund</t>
  </si>
  <si>
    <t>VT Western Asset Core Plus Bond Fund</t>
  </si>
  <si>
    <t>VT Retirement IncomeAdvantage Fund</t>
  </si>
  <si>
    <t>Vantagepoint Emerging Markets Fund</t>
  </si>
  <si>
    <t>Vantagepoint International Fund</t>
  </si>
  <si>
    <t>Vantagepoint Overseas Equity Index Fund</t>
  </si>
  <si>
    <t>VT Diversified International Fund</t>
  </si>
  <si>
    <t>VT Nuveen Real Estate Securities Fund</t>
  </si>
  <si>
    <t>Vantagepoint PLUS Fund</t>
  </si>
  <si>
    <t>VT Cash Management Fund</t>
  </si>
  <si>
    <t>Vantagepoint 500 Stock Index Fund</t>
  </si>
  <si>
    <t>Vantagepoint Aggressive Opportunities Fund</t>
  </si>
  <si>
    <t>Vantagepoint Broad Market Index Fund</t>
  </si>
  <si>
    <t>Vantagepoint Discovery Fund</t>
  </si>
  <si>
    <t>Vantagepoint Equity Income Fund</t>
  </si>
  <si>
    <t>Vantagepoint Growth &amp; Income Fund</t>
  </si>
  <si>
    <t>Vantagepoint Growth Fund</t>
  </si>
  <si>
    <t>Vantagepoint Mid/Small Company Index Fund</t>
  </si>
  <si>
    <t>Vantagepoint Select Value Fund</t>
  </si>
  <si>
    <t>VT AMG TimesSquare Mid Cap Growth Fund</t>
  </si>
  <si>
    <t>VT Carillon Eagle Mid Cap Growth Fund</t>
  </si>
  <si>
    <t>VT Contrafund®</t>
  </si>
  <si>
    <t>VT Invesco Discovery Fund</t>
  </si>
  <si>
    <t>VT Invesco Diversified Dividend Fund</t>
  </si>
  <si>
    <t>VT Invesco Main Street Fund</t>
  </si>
  <si>
    <t>VT MFS® Value Fund</t>
  </si>
  <si>
    <t>VT Parnassus Core Equity Fund</t>
  </si>
  <si>
    <t>VT T Rowe Price® Growth Stock Fund</t>
  </si>
  <si>
    <t>VT Victory Sycamore Established Value Fund</t>
  </si>
  <si>
    <t>n/a</t>
  </si>
  <si>
    <t>FPURX</t>
  </si>
  <si>
    <t>PHYAX</t>
  </si>
  <si>
    <t>WACPX</t>
  </si>
  <si>
    <t>FDIVX</t>
  </si>
  <si>
    <t>FARCX</t>
  </si>
  <si>
    <t>FCGXX</t>
  </si>
  <si>
    <t>TMDPX</t>
  </si>
  <si>
    <t>HARSX</t>
  </si>
  <si>
    <t>FCNTX</t>
  </si>
  <si>
    <t>ODIYX</t>
  </si>
  <si>
    <t>LCEYX</t>
  </si>
  <si>
    <t>MIGYX</t>
  </si>
  <si>
    <t>MEIJX</t>
  </si>
  <si>
    <t>PRBLX</t>
  </si>
  <si>
    <t>TRSAX</t>
  </si>
  <si>
    <t>VEVYX</t>
  </si>
  <si>
    <t>92210F661</t>
  </si>
  <si>
    <t>92210F612</t>
  </si>
  <si>
    <t>92210F554</t>
  </si>
  <si>
    <t>92210F497</t>
  </si>
  <si>
    <t>92210F448</t>
  </si>
  <si>
    <t>92210F380</t>
  </si>
  <si>
    <t>92210F331</t>
  </si>
  <si>
    <t>92210J341</t>
  </si>
  <si>
    <t>92210F836</t>
  </si>
  <si>
    <t>92210J606</t>
  </si>
  <si>
    <t>92210J101</t>
  </si>
  <si>
    <t>92210F224</t>
  </si>
  <si>
    <t>92210F109</t>
  </si>
  <si>
    <t>92210F885</t>
  </si>
  <si>
    <t>74440A670</t>
  </si>
  <si>
    <t>92210J283</t>
  </si>
  <si>
    <t>92210J390</t>
  </si>
  <si>
    <t>92210J432</t>
  </si>
  <si>
    <t>92208J105</t>
  </si>
  <si>
    <t>92210J812</t>
  </si>
  <si>
    <t>92210J549</t>
  </si>
  <si>
    <t>92210J721</t>
  </si>
  <si>
    <t>92210J481</t>
  </si>
  <si>
    <t>92210J861</t>
  </si>
  <si>
    <t>92210J770</t>
  </si>
  <si>
    <t>92210J689</t>
  </si>
  <si>
    <t>92210J572</t>
  </si>
  <si>
    <t>92210J630</t>
  </si>
  <si>
    <t>CUSIP</t>
  </si>
  <si>
    <t>Fund</t>
  </si>
  <si>
    <t>Eligible Employees</t>
  </si>
  <si>
    <t>Contributions</t>
  </si>
  <si>
    <t>Distributions</t>
  </si>
  <si>
    <t>Yes</t>
  </si>
  <si>
    <t>12 month put</t>
  </si>
  <si>
    <t>Stable Value Transfer Restrictions</t>
  </si>
  <si>
    <t>12-month Put</t>
  </si>
  <si>
    <t>American Funds Am Balanced R4</t>
  </si>
  <si>
    <t>American Funds EuroPacific Grw R4</t>
  </si>
  <si>
    <t>American Funds Growth Fnd R4</t>
  </si>
  <si>
    <t>American Funds New Perspective R4</t>
  </si>
  <si>
    <t>American Funds Wash Mutual Inv R4</t>
  </si>
  <si>
    <t>Calvert VP SRI Balanced Portfolio</t>
  </si>
  <si>
    <t>Fidelity VIP Contrafund Port I</t>
  </si>
  <si>
    <t>Fidelity VIP Eqty-Income Port I</t>
  </si>
  <si>
    <t>Fidelity VIP Growth Portfolio I</t>
  </si>
  <si>
    <t>Fidelity VIP Overseas Portfolio I</t>
  </si>
  <si>
    <t>Franklin Small Cap Value VIP Fd 2</t>
  </si>
  <si>
    <t>Inv Dev Mrkts Fd A</t>
  </si>
  <si>
    <t>Invesco VI American Franchise Fd I</t>
  </si>
  <si>
    <t>Invesco VI Core Equity Fund SI</t>
  </si>
  <si>
    <t>Lord Abbett Ser Fd Md Cp Stk Prt VC</t>
  </si>
  <si>
    <t>Lord Abbett Series Fd Grw&amp;Inc Prt VC</t>
  </si>
  <si>
    <t>Pax Sust Alloc Fund Inv</t>
  </si>
  <si>
    <t>PIMCO VIT Real Return Portfolio Adm</t>
  </si>
  <si>
    <t>Pioneer Equity Income VCT Port I</t>
  </si>
  <si>
    <t>Pioneer Fund VCT Portfolio I</t>
  </si>
  <si>
    <t>Pioneer High Yield VCT Portfolio I</t>
  </si>
  <si>
    <t>Pioneer Mid Cap Value VCT Port I</t>
  </si>
  <si>
    <t>Templeton Global Bond Fund A</t>
  </si>
  <si>
    <t>Voya Balanced Portfolio I</t>
  </si>
  <si>
    <t>Voya Fixed Account - 457/401</t>
  </si>
  <si>
    <t>Voya Global Bond Port I</t>
  </si>
  <si>
    <t>Voya Govt Money Market Portfolio I</t>
  </si>
  <si>
    <t>Voya Growth and Income Port I</t>
  </si>
  <si>
    <t>Voya Growth and Income Port S</t>
  </si>
  <si>
    <t>Voya Index Plus LargeCap Portfolio I</t>
  </si>
  <si>
    <t>Voya Index Plus MidCap Portfolio I</t>
  </si>
  <si>
    <t>Voya Index Plus SmallCap Portfolio I</t>
  </si>
  <si>
    <t>Voya Intermediate Bond Port S</t>
  </si>
  <si>
    <t>Voya International Index Port I</t>
  </si>
  <si>
    <t>Voya Large Cap Growth Port Inst</t>
  </si>
  <si>
    <t>Voya Long-Term GAA (4560)</t>
  </si>
  <si>
    <t>Voya MidCap Opportunities Port I</t>
  </si>
  <si>
    <t>Voya Small Company Portfolio I</t>
  </si>
  <si>
    <t>Voya SmallCap Opportunities Prt I</t>
  </si>
  <si>
    <t>Voya Solution 2025 Portfolio Srv</t>
  </si>
  <si>
    <t>Voya Solution 2035 Portfolio Srv</t>
  </si>
  <si>
    <t>Voya Solution 2045 Portfolio Srv</t>
  </si>
  <si>
    <t>Voya Solution 2055 Portfolio Srv</t>
  </si>
  <si>
    <t>Voya Solution Income Prt Srv</t>
  </si>
  <si>
    <t>Voya Strategic Alloc Conserv Port I</t>
  </si>
  <si>
    <t>Voya Strategic Alloc Growth Port I</t>
  </si>
  <si>
    <t>Voya Strategic Alloc Moderate Port I</t>
  </si>
  <si>
    <t>VoyIntlHiDivLowVol Port-Srv</t>
  </si>
  <si>
    <t>VY AmCen Sm-Md Cp Val Port Srv</t>
  </si>
  <si>
    <t>VY Baron Growth Port Srv</t>
  </si>
  <si>
    <t>VY Clarion Global Rl Est Prt Inst</t>
  </si>
  <si>
    <t>VY Columbia Contrarian Core Pt Srv</t>
  </si>
  <si>
    <t>VY Inv Glob Portf - Init Cl</t>
  </si>
  <si>
    <t>VY Invesco Comstock Port Srv</t>
  </si>
  <si>
    <t>VY Invesco Eqty &amp; Inc Port I</t>
  </si>
  <si>
    <t>VY Invesco Eqty &amp; Inc Port Srv</t>
  </si>
  <si>
    <t>VY JPMorgan Mid Cap Val Port Srv</t>
  </si>
  <si>
    <t>VY TRowePrice Divr MdCp Gr Pt I</t>
  </si>
  <si>
    <t>VY TRowePrice Eqty Income Pt Srv</t>
  </si>
  <si>
    <t>VY TRowePrice Grwth Eqty Port I</t>
  </si>
  <si>
    <t>Wanger Select</t>
  </si>
  <si>
    <t>Wanger USA</t>
  </si>
  <si>
    <t>WellsFargo Spec Sm Cp Val Fd A</t>
  </si>
  <si>
    <t>Equal installments with interest over 60-months or subject to MVA</t>
  </si>
  <si>
    <t>STABLE VALUE</t>
  </si>
  <si>
    <t>LIFEPATH RETIREME</t>
  </si>
  <si>
    <t>LIFEPATH 2025</t>
  </si>
  <si>
    <t>LIFEPATH 2030</t>
  </si>
  <si>
    <t>LIFEPATH 2035</t>
  </si>
  <si>
    <t>LIFEPATH 2040</t>
  </si>
  <si>
    <t>LIFEPATH 2045</t>
  </si>
  <si>
    <t>LIFEPATH 2050</t>
  </si>
  <si>
    <t>LIFEPATH 2055</t>
  </si>
  <si>
    <t>LIFEPATH 2060</t>
  </si>
  <si>
    <t>LIFEPATH 2065</t>
  </si>
  <si>
    <t>ACTIVE FIXED INC</t>
  </si>
  <si>
    <t>REAL RETURN OPTIO</t>
  </si>
  <si>
    <t>SOC RESPON INV OP</t>
  </si>
  <si>
    <t>VALUE STOCK</t>
  </si>
  <si>
    <t xml:space="preserve">STOCK INDEX  </t>
  </si>
  <si>
    <t>STOCK INDEX</t>
  </si>
  <si>
    <t>GROWTH STOCK</t>
  </si>
  <si>
    <t>INTERNATIONAL</t>
  </si>
  <si>
    <t xml:space="preserve">SM CO STOCK OPTIO </t>
  </si>
  <si>
    <t>SM CO STOCK OPTIO</t>
  </si>
  <si>
    <t>SCHWAB PCRA</t>
  </si>
  <si>
    <t>LOAN FUND</t>
  </si>
  <si>
    <t>Category/Style Box</t>
  </si>
  <si>
    <t>Investment Option</t>
  </si>
  <si>
    <t>Large Value</t>
  </si>
  <si>
    <t>MFS Value R6</t>
  </si>
  <si>
    <t>MEIKX</t>
  </si>
  <si>
    <t>Large Blend</t>
  </si>
  <si>
    <t>VFIAX</t>
  </si>
  <si>
    <t>Large Growth</t>
  </si>
  <si>
    <t>Mid-Cap Blend</t>
  </si>
  <si>
    <t>VIMAX</t>
  </si>
  <si>
    <t>Small Value</t>
  </si>
  <si>
    <t>Small Blend</t>
  </si>
  <si>
    <t>VSMAX</t>
  </si>
  <si>
    <t>Small Growth</t>
  </si>
  <si>
    <t>Foreign Large Growth</t>
  </si>
  <si>
    <t>MDIJX</t>
  </si>
  <si>
    <t>Foreign Large Blend</t>
  </si>
  <si>
    <t>Target-Date Retirement</t>
  </si>
  <si>
    <t>Target-Date 2020</t>
  </si>
  <si>
    <t>Target-Date 2025</t>
  </si>
  <si>
    <t>Target-Date 2030</t>
  </si>
  <si>
    <t>Target-Date 2035</t>
  </si>
  <si>
    <t>Target-Date 2040</t>
  </si>
  <si>
    <t>Target-Date 2045</t>
  </si>
  <si>
    <t>Target-Date 2050</t>
  </si>
  <si>
    <t>Target-Date 2055</t>
  </si>
  <si>
    <t>Target-Date 2060+</t>
  </si>
  <si>
    <t>High Yield Bond</t>
  </si>
  <si>
    <t>Money Market</t>
  </si>
  <si>
    <t>Stable Value</t>
  </si>
  <si>
    <t>Revenue % by Fund</t>
  </si>
  <si>
    <t>Prospectus Net Expense Ratio</t>
  </si>
  <si>
    <t>12b-1 fees</t>
  </si>
  <si>
    <t>Sub-TA fees (Administrative Fee Payment)</t>
  </si>
  <si>
    <t>Other Servicing Agreements</t>
  </si>
  <si>
    <t>Totals</t>
  </si>
  <si>
    <t>Inflation-Protected Bond</t>
  </si>
  <si>
    <t>Foreign Large Value</t>
  </si>
  <si>
    <t>SDBA</t>
  </si>
  <si>
    <t>Loans</t>
  </si>
  <si>
    <t>Short-Term Bond</t>
  </si>
  <si>
    <t>Multisector Bond</t>
  </si>
  <si>
    <t>Stable Value/Cash Management</t>
  </si>
  <si>
    <t>Bond</t>
  </si>
  <si>
    <t>Guaranteed Lifetime Income</t>
  </si>
  <si>
    <t>Balanced/Asset Allocation</t>
  </si>
  <si>
    <t>U.S. Stock</t>
  </si>
  <si>
    <t>International/Global Stock</t>
  </si>
  <si>
    <t>Specialty</t>
  </si>
  <si>
    <t>92210F729</t>
  </si>
  <si>
    <t>92210F273</t>
  </si>
  <si>
    <t>LVAQX</t>
  </si>
  <si>
    <t>SBIYX</t>
  </si>
  <si>
    <t>DIVX</t>
  </si>
  <si>
    <t>Map to TDFs by Age</t>
  </si>
  <si>
    <t>Intermediate Core Bond</t>
  </si>
  <si>
    <t>Intermediate Core-Plus Bond</t>
  </si>
  <si>
    <t>Emerging Markets</t>
  </si>
  <si>
    <t>Real Estate</t>
  </si>
  <si>
    <t>World Large-Stock</t>
  </si>
  <si>
    <t>Diversified emerging Markets</t>
  </si>
  <si>
    <t>Mid-Cap Value</t>
  </si>
  <si>
    <t>Nontraditional Bond</t>
  </si>
  <si>
    <t>World Bond</t>
  </si>
  <si>
    <t>Mid-Cap Growth</t>
  </si>
  <si>
    <t>World Large-Stock Growth</t>
  </si>
  <si>
    <t>Target-Date 2060</t>
  </si>
  <si>
    <t>Target-Date 2065</t>
  </si>
  <si>
    <t>category</t>
  </si>
  <si>
    <t>OGSP</t>
  </si>
  <si>
    <t>VOYA</t>
  </si>
  <si>
    <t>Assets Transferring from Voya</t>
  </si>
  <si>
    <t>Assets Transferring from Oregon Growth and Savings Plan</t>
  </si>
  <si>
    <t>Self Directed Brokerage Accounts</t>
  </si>
  <si>
    <t>- - - - -</t>
  </si>
  <si>
    <t>Participant Loans</t>
  </si>
  <si>
    <t>TBD Money Market Fund</t>
  </si>
  <si>
    <t>TBD Stable Value Fund</t>
  </si>
  <si>
    <t>Representative Lineup for Pricing Illustration</t>
  </si>
  <si>
    <t>MFS Mid Cap Value R6</t>
  </si>
  <si>
    <t>IMOZX</t>
  </si>
  <si>
    <t>Voya MidCap Opportunities R6</t>
  </si>
  <si>
    <t>Delaware Small Cap Value R6</t>
  </si>
  <si>
    <t>Vanguard 500 Index Fund Admiral</t>
  </si>
  <si>
    <t>T. Rowe Price Blue Chip Growth Fund I</t>
  </si>
  <si>
    <t>TBCIX</t>
  </si>
  <si>
    <t>MVCKX</t>
  </si>
  <si>
    <t>Vanguard Mid-Cap Index Admiral</t>
  </si>
  <si>
    <t>Vanguard Small Cap Index Admiral</t>
  </si>
  <si>
    <t>DVZRX</t>
  </si>
  <si>
    <t>Carillon Eagle Small Cap Growth R6</t>
  </si>
  <si>
    <t>HSRUX</t>
  </si>
  <si>
    <t>Transamerica International Equity I</t>
  </si>
  <si>
    <t>TSWIX</t>
  </si>
  <si>
    <t>MFS Intl Diversification I</t>
  </si>
  <si>
    <t>Invesco Developing Markets R6</t>
  </si>
  <si>
    <t>ODVIX</t>
  </si>
  <si>
    <t>American Funds 2020 Target Date Retirement R-6</t>
  </si>
  <si>
    <t>American Funds 2025 Target Date Retirement R-6</t>
  </si>
  <si>
    <t>American Funds 2030 Target Date Retirement R-6</t>
  </si>
  <si>
    <t>American Funds 2035 Target Date Retirement R-6</t>
  </si>
  <si>
    <t>American Funds 2040 Target Date Retirement R-6</t>
  </si>
  <si>
    <t>American Funds 2045 Target Date Retirement R-6</t>
  </si>
  <si>
    <t>American Funds 2050 Target Date Retirement R-6</t>
  </si>
  <si>
    <t>American Funds 2055 Target Date Retirement R-6</t>
  </si>
  <si>
    <t>RRCTX</t>
  </si>
  <si>
    <t>RFDTX</t>
  </si>
  <si>
    <t>RFETX</t>
  </si>
  <si>
    <t>RFFTX</t>
  </si>
  <si>
    <t>RFGTX</t>
  </si>
  <si>
    <t>RFHTX</t>
  </si>
  <si>
    <t>RFITX</t>
  </si>
  <si>
    <t>RFKTX</t>
  </si>
  <si>
    <t>RFUTX</t>
  </si>
  <si>
    <t>RFVTX</t>
  </si>
  <si>
    <t>American Funds 2060 Target Date Retirement R-6</t>
  </si>
  <si>
    <t>American Funds 2065 Target Date Retirement R-6</t>
  </si>
  <si>
    <t>Virtus Duff &amp; Phelps Real Estate Securities R6</t>
  </si>
  <si>
    <t>VRREX</t>
  </si>
  <si>
    <t>Dodge &amp; Cox Income</t>
  </si>
  <si>
    <t>DODIX</t>
  </si>
  <si>
    <t>Pioneer Strategic Income Y</t>
  </si>
  <si>
    <t>STRYX</t>
  </si>
  <si>
    <t>TBD</t>
  </si>
  <si>
    <t>Assets Transferring from MissionSquare</t>
  </si>
  <si>
    <t>MissionSquare</t>
  </si>
  <si>
    <t>Contributions (Generally through Jan 1, 2021 - July 30, 2021)</t>
  </si>
  <si>
    <t>Distributions (Generally through Jan 1, 2021 - July 30, 2021)</t>
  </si>
  <si>
    <t>Eligible Employees (Generally as of July 2021)</t>
  </si>
  <si>
    <t>Voya Solution 2040 Port Srv</t>
  </si>
  <si>
    <t>Voya Solution 2050 Port Srv</t>
  </si>
  <si>
    <t>Voya Solution 2060 Port Srv</t>
  </si>
  <si>
    <t>Full Year</t>
  </si>
  <si>
    <t>Based on Plan Assets as of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</si>
</sst>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\$#,##0.##_);\(\$#,##0.##\)"/>
    <numFmt numFmtId="167" formatCode="\$#,##0.00;\(\$#,##0.00\)"/>
    <numFmt numFmtId="169" formatCode="#,##0.000000000_);\(#,##0.000000000\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Verdana"/>
      <family val="2"/>
    </font>
    <font>
      <sz val="8"/>
      <color rgb="FFFF0000"/>
      <name val="Verdana"/>
      <family val="2"/>
    </font>
    <font>
      <sz val="10"/>
      <name val="Arial"/>
      <family val="2"/>
    </font>
    <font>
      <b/>
      <u/>
      <sz val="14"/>
      <name val="Calibri"/>
      <family val="2"/>
      <scheme val="minor"/>
    </font>
    <font>
      <sz val="12"/>
      <color rgb="FF1E1E1E"/>
      <name val="Univers"/>
      <family val="2"/>
    </font>
    <font>
      <sz val="8"/>
      <color indexed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16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6" fillId="0" borderId="0"/>
    <xf numFmtId="44" fontId="5" fillId="0" borderId="0" applyFont="0" applyFill="0" applyBorder="0" applyAlignment="0" applyProtection="0"/>
    <xf numFmtId="0" fontId="11" fillId="0" borderId="0"/>
    <xf numFmtId="44" fontId="14" fillId="0" borderId="0" applyFont="0" applyFill="0" applyBorder="0" applyAlignment="0" applyProtection="0"/>
    <xf numFmtId="0" fontId="20" fillId="0" borderId="0"/>
  </cellStyleXfs>
  <cellXfs count="91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0" fillId="0" borderId="1" xfId="0" applyBorder="1"/>
    <xf numFmtId="164" fontId="0" fillId="0" borderId="0" xfId="0" applyNumberFormat="1"/>
    <xf numFmtId="165" fontId="0" fillId="0" borderId="0" xfId="7" applyNumberFormat="1" applyFont="1"/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quotePrefix="1" applyNumberFormat="1" applyFont="1" applyFill="1" applyBorder="1" applyAlignment="1">
      <alignment horizontal="center" vertical="center"/>
    </xf>
    <xf numFmtId="0" fontId="9" fillId="0" borderId="0" xfId="0" applyFont="1" applyFill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1" fillId="0" borderId="0" xfId="8"/>
    <xf numFmtId="166" fontId="0" fillId="0" borderId="0" xfId="0" applyNumberFormat="1"/>
    <xf numFmtId="0" fontId="11" fillId="0" borderId="0" xfId="8"/>
    <xf numFmtId="0" fontId="11" fillId="0" borderId="0" xfId="8"/>
    <xf numFmtId="0" fontId="0" fillId="0" borderId="1" xfId="0" quotePrefix="1" applyNumberForma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11" fillId="0" borderId="0" xfId="8" applyFill="1"/>
    <xf numFmtId="0" fontId="12" fillId="0" borderId="0" xfId="8" applyFont="1" applyFill="1" applyAlignment="1" applyProtection="1">
      <alignment horizontal="left"/>
      <protection locked="0"/>
    </xf>
    <xf numFmtId="0" fontId="13" fillId="4" borderId="0" xfId="8" applyFont="1" applyFill="1" applyAlignment="1" applyProtection="1">
      <alignment horizontal="left"/>
      <protection locked="0"/>
    </xf>
    <xf numFmtId="167" fontId="0" fillId="0" borderId="0" xfId="0" applyNumberFormat="1"/>
    <xf numFmtId="44" fontId="0" fillId="0" borderId="0" xfId="7" applyFont="1"/>
    <xf numFmtId="3" fontId="3" fillId="0" borderId="1" xfId="0" applyNumberFormat="1" applyFont="1" applyFill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 vertical="center"/>
    </xf>
    <xf numFmtId="166" fontId="11" fillId="4" borderId="0" xfId="8" applyNumberFormat="1" applyFill="1"/>
    <xf numFmtId="0" fontId="10" fillId="2" borderId="1" xfId="4" applyFont="1" applyFill="1" applyBorder="1" applyAlignment="1" applyProtection="1">
      <alignment horizontal="left" vertical="top" wrapText="1"/>
    </xf>
    <xf numFmtId="0" fontId="10" fillId="2" borderId="1" xfId="1" applyFont="1" applyFill="1" applyBorder="1" applyAlignment="1">
      <alignment horizontal="left"/>
    </xf>
    <xf numFmtId="0" fontId="10" fillId="2" borderId="1" xfId="1" quotePrefix="1" applyFont="1" applyFill="1" applyBorder="1" applyAlignment="1">
      <alignment horizontal="center" vertical="center"/>
    </xf>
    <xf numFmtId="0" fontId="0" fillId="2" borderId="0" xfId="0" applyFill="1"/>
    <xf numFmtId="164" fontId="0" fillId="2" borderId="1" xfId="0" applyNumberFormat="1" applyFill="1" applyBorder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0" fontId="9" fillId="0" borderId="0" xfId="0" applyFont="1"/>
    <xf numFmtId="0" fontId="12" fillId="5" borderId="0" xfId="8" applyFont="1" applyFill="1" applyAlignment="1" applyProtection="1">
      <alignment horizontal="left"/>
      <protection locked="0"/>
    </xf>
    <xf numFmtId="0" fontId="0" fillId="5" borderId="0" xfId="0" applyFill="1"/>
    <xf numFmtId="0" fontId="11" fillId="4" borderId="0" xfId="8" applyFill="1"/>
    <xf numFmtId="0" fontId="16" fillId="0" borderId="0" xfId="0" applyFont="1"/>
    <xf numFmtId="0" fontId="16" fillId="0" borderId="0" xfId="0" applyFont="1" applyAlignment="1">
      <alignment vertical="center" wrapText="1"/>
    </xf>
    <xf numFmtId="0" fontId="17" fillId="5" borderId="0" xfId="8" applyFont="1" applyFill="1" applyAlignment="1" applyProtection="1">
      <alignment horizontal="left"/>
      <protection locked="0"/>
    </xf>
    <xf numFmtId="10" fontId="0" fillId="6" borderId="1" xfId="5" applyNumberFormat="1" applyFont="1" applyFill="1" applyBorder="1"/>
    <xf numFmtId="0" fontId="0" fillId="6" borderId="1" xfId="0" applyFill="1" applyBorder="1"/>
    <xf numFmtId="10" fontId="0" fillId="6" borderId="0" xfId="5" applyNumberFormat="1" applyFont="1" applyFill="1"/>
    <xf numFmtId="164" fontId="9" fillId="0" borderId="0" xfId="0" applyNumberFormat="1" applyFont="1"/>
    <xf numFmtId="164" fontId="0" fillId="0" borderId="1" xfId="0" applyNumberFormat="1" applyBorder="1" applyAlignment="1">
      <alignment wrapText="1"/>
    </xf>
    <xf numFmtId="0" fontId="4" fillId="3" borderId="1" xfId="3" applyFont="1" applyFill="1" applyBorder="1" applyAlignment="1">
      <alignment horizontal="center" wrapText="1"/>
    </xf>
    <xf numFmtId="0" fontId="4" fillId="3" borderId="1" xfId="3" applyFont="1" applyFill="1" applyBorder="1" applyAlignment="1">
      <alignment horizontal="center"/>
    </xf>
    <xf numFmtId="0" fontId="15" fillId="2" borderId="1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left" vertical="center" wrapText="1"/>
    </xf>
    <xf numFmtId="0" fontId="3" fillId="2" borderId="6" xfId="3" applyFont="1" applyFill="1" applyBorder="1" applyAlignment="1">
      <alignment horizontal="left" vertical="center" wrapText="1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9" fontId="0" fillId="0" borderId="0" xfId="0" applyNumberFormat="1"/>
    <xf numFmtId="0" fontId="11" fillId="0" borderId="0" xfId="8"/>
    <xf numFmtId="166" fontId="11" fillId="0" borderId="0" xfId="8" applyNumberFormat="1"/>
    <xf numFmtId="169" fontId="0" fillId="0" borderId="0" xfId="0" applyNumberFormat="1"/>
    <xf numFmtId="0" fontId="16" fillId="4" borderId="0" xfId="0" applyFont="1" applyFill="1"/>
    <xf numFmtId="166" fontId="0" fillId="4" borderId="0" xfId="0" applyNumberFormat="1" applyFill="1"/>
    <xf numFmtId="0" fontId="16" fillId="4" borderId="0" xfId="0" applyFont="1" applyFill="1" applyAlignment="1">
      <alignment vertical="center" wrapText="1"/>
    </xf>
    <xf numFmtId="8" fontId="0" fillId="0" borderId="1" xfId="0" applyNumberFormat="1" applyBorder="1" applyAlignment="1">
      <alignment horizontal="right"/>
    </xf>
    <xf numFmtId="8" fontId="0" fillId="4" borderId="1" xfId="0" applyNumberFormat="1" applyFill="1" applyBorder="1" applyAlignment="1">
      <alignment horizontal="right"/>
    </xf>
    <xf numFmtId="8" fontId="0" fillId="0" borderId="0" xfId="0" applyNumberFormat="1"/>
    <xf numFmtId="0" fontId="0" fillId="4" borderId="0" xfId="0" applyFill="1" applyBorder="1" applyAlignment="1">
      <alignment horizontal="left"/>
    </xf>
    <xf numFmtId="0" fontId="12" fillId="0" borderId="1" xfId="8" applyFont="1" applyFill="1" applyBorder="1" applyAlignment="1" applyProtection="1">
      <alignment horizontal="left"/>
      <protection locked="0"/>
    </xf>
    <xf numFmtId="167" fontId="12" fillId="4" borderId="1" xfId="8" applyNumberFormat="1" applyFont="1" applyFill="1" applyBorder="1" applyAlignment="1" applyProtection="1">
      <alignment horizontal="right"/>
      <protection locked="0"/>
    </xf>
    <xf numFmtId="8" fontId="0" fillId="0" borderId="0" xfId="0" applyNumberFormat="1" applyBorder="1" applyAlignment="1">
      <alignment horizontal="right"/>
    </xf>
    <xf numFmtId="8" fontId="0" fillId="4" borderId="0" xfId="0" applyNumberFormat="1" applyFill="1" applyBorder="1" applyAlignment="1">
      <alignment horizontal="right"/>
    </xf>
    <xf numFmtId="0" fontId="12" fillId="0" borderId="0" xfId="8" applyFont="1" applyFill="1" applyBorder="1" applyAlignment="1" applyProtection="1">
      <alignment horizontal="left"/>
      <protection locked="0"/>
    </xf>
    <xf numFmtId="167" fontId="12" fillId="4" borderId="0" xfId="8" applyNumberFormat="1" applyFont="1" applyFill="1" applyBorder="1" applyAlignment="1" applyProtection="1">
      <alignment horizontal="right"/>
      <protection locked="0"/>
    </xf>
    <xf numFmtId="44" fontId="0" fillId="0" borderId="0" xfId="0" applyNumberFormat="1"/>
    <xf numFmtId="164" fontId="0" fillId="7" borderId="1" xfId="0" applyNumberFormat="1" applyFill="1" applyBorder="1" applyAlignment="1">
      <alignment horizontal="center" vertical="center"/>
    </xf>
    <xf numFmtId="164" fontId="0" fillId="7" borderId="0" xfId="0" applyNumberFormat="1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</cellXfs>
  <cellStyles count="11">
    <cellStyle name="Currency" xfId="7" builtinId="4"/>
    <cellStyle name="Currency 2" xfId="2" xr:uid="{00000000-0005-0000-0000-000000000000}"/>
    <cellStyle name="Currency 3" xfId="9" xr:uid="{0C4303EF-10CA-4B8E-B489-805BF7974E94}"/>
    <cellStyle name="Hyperlink 2" xfId="4" xr:uid="{00000000-0005-0000-0000-000001000000}"/>
    <cellStyle name="Normal" xfId="0" builtinId="0"/>
    <cellStyle name="Normal 2" xfId="1" xr:uid="{00000000-0005-0000-0000-000003000000}"/>
    <cellStyle name="Normal 3" xfId="6" xr:uid="{00000000-0005-0000-0000-000004000000}"/>
    <cellStyle name="Normal 4" xfId="8" xr:uid="{C029812E-7FA7-497B-8AB7-3374F3D66887}"/>
    <cellStyle name="Normal 5" xfId="10" xr:uid="{237796C8-32CB-4363-A188-E593E756FFBD}"/>
    <cellStyle name="Normal_Sheet1" xfId="3" xr:uid="{00000000-0005-0000-0000-000005000000}"/>
    <cellStyle name="Percent" xfId="5" builtinId="5"/>
  </cellStyles>
  <dxfs count="0"/>
  <tableStyles count="0" defaultTableStyle="TableStyleMedium9" defaultPivotStyle="PivotStyleLight16"/>
  <colors>
    <mruColors>
      <color rgb="FF001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ndon.zima\AppData\Local\Microsoft\Windows\INetCache\Content.Outlook\VKFKMLB1\City%20of%20Springfield%20-%20Assets%20by%20Fund%20Q4%202021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ndon.zima\AppData\Local\Microsoft\Windows\INetCache\Content.Outlook\VKFKMLB1\VB1985_PAR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838"/>
    </sheetNames>
    <sheetDataSet>
      <sheetData sheetId="0">
        <row r="2">
          <cell r="G2">
            <v>4931.92</v>
          </cell>
        </row>
        <row r="3">
          <cell r="G3">
            <v>12101.32</v>
          </cell>
        </row>
        <row r="4">
          <cell r="G4">
            <v>13108.05</v>
          </cell>
        </row>
        <row r="5">
          <cell r="G5">
            <v>16169.81</v>
          </cell>
        </row>
        <row r="6">
          <cell r="G6">
            <v>17562.689999999999</v>
          </cell>
        </row>
        <row r="7">
          <cell r="G7">
            <v>19723.510000000002</v>
          </cell>
        </row>
        <row r="8">
          <cell r="G8">
            <v>22586.720000000001</v>
          </cell>
        </row>
        <row r="9">
          <cell r="G9">
            <v>24436.27</v>
          </cell>
        </row>
        <row r="10">
          <cell r="G10">
            <v>25910.77</v>
          </cell>
        </row>
        <row r="11">
          <cell r="G11">
            <v>30605.53</v>
          </cell>
        </row>
        <row r="12">
          <cell r="G12">
            <v>35434.65</v>
          </cell>
        </row>
        <row r="13">
          <cell r="G13">
            <v>38023.25</v>
          </cell>
        </row>
        <row r="14">
          <cell r="G14">
            <v>49599.840000000004</v>
          </cell>
        </row>
        <row r="15">
          <cell r="G15">
            <v>58874.6</v>
          </cell>
        </row>
        <row r="16">
          <cell r="G16">
            <v>63365.74</v>
          </cell>
        </row>
        <row r="17">
          <cell r="G17">
            <v>81332.78</v>
          </cell>
        </row>
        <row r="18">
          <cell r="G18">
            <v>83847.55</v>
          </cell>
        </row>
        <row r="19">
          <cell r="G19">
            <v>85907.17</v>
          </cell>
        </row>
        <row r="20">
          <cell r="G20">
            <v>90596.62000000001</v>
          </cell>
        </row>
        <row r="21">
          <cell r="G21">
            <v>95115.51999999999</v>
          </cell>
        </row>
        <row r="22">
          <cell r="G22">
            <v>105253.27</v>
          </cell>
        </row>
        <row r="23">
          <cell r="G23">
            <v>111821.44</v>
          </cell>
        </row>
        <row r="24">
          <cell r="G24">
            <v>116971.23999999999</v>
          </cell>
        </row>
        <row r="25">
          <cell r="G25">
            <v>118455.22</v>
          </cell>
        </row>
        <row r="26">
          <cell r="G26">
            <v>127618.85</v>
          </cell>
        </row>
        <row r="27">
          <cell r="G27">
            <v>128159.09</v>
          </cell>
        </row>
        <row r="28">
          <cell r="G28">
            <v>135064.81</v>
          </cell>
        </row>
        <row r="29">
          <cell r="G29">
            <v>171231.6</v>
          </cell>
        </row>
        <row r="30">
          <cell r="G30">
            <v>179627.09</v>
          </cell>
        </row>
        <row r="31">
          <cell r="G31">
            <v>181532.14</v>
          </cell>
        </row>
        <row r="32">
          <cell r="G32">
            <v>184856.88999999998</v>
          </cell>
        </row>
        <row r="33">
          <cell r="G33">
            <v>198831.08000000002</v>
          </cell>
        </row>
        <row r="34">
          <cell r="G34">
            <v>206552.86</v>
          </cell>
        </row>
        <row r="35">
          <cell r="G35">
            <v>215893.62999999998</v>
          </cell>
        </row>
        <row r="36">
          <cell r="G36">
            <v>230660.26</v>
          </cell>
        </row>
        <row r="37">
          <cell r="G37">
            <v>232217.22999999998</v>
          </cell>
        </row>
        <row r="38">
          <cell r="G38">
            <v>276919.57</v>
          </cell>
        </row>
        <row r="39">
          <cell r="G39">
            <v>389256.04</v>
          </cell>
        </row>
        <row r="40">
          <cell r="G40">
            <v>403670.29000000004</v>
          </cell>
        </row>
        <row r="41">
          <cell r="G41">
            <v>463599.51</v>
          </cell>
        </row>
        <row r="42">
          <cell r="G42">
            <v>477756.17</v>
          </cell>
        </row>
        <row r="43">
          <cell r="G43">
            <v>530944.09</v>
          </cell>
        </row>
        <row r="44">
          <cell r="G44">
            <v>991856.47</v>
          </cell>
        </row>
        <row r="45">
          <cell r="G45">
            <v>1950899.6400000001</v>
          </cell>
        </row>
        <row r="46">
          <cell r="G46">
            <v>8998882.790000001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y Fund"/>
      <sheetName val="Summary By Source"/>
      <sheetName val="Summary By Source, Fund"/>
      <sheetName val="Summary By Location, Fund"/>
      <sheetName val="Summary By Location, Source"/>
      <sheetName val="Participant Summary"/>
      <sheetName val="Part Summary By Source"/>
      <sheetName val="Part Summary By Source, Fund"/>
      <sheetName val="Transaction Summary"/>
    </sheetNames>
    <sheetDataSet>
      <sheetData sheetId="0" refreshError="1">
        <row r="10">
          <cell r="A10" t="str">
            <v>Allspg Spec SmCp Vl Fd A</v>
          </cell>
          <cell r="J10">
            <v>160229.13</v>
          </cell>
        </row>
        <row r="11">
          <cell r="A11" t="str">
            <v>American Funds Am Balanced R4</v>
          </cell>
          <cell r="J11">
            <v>55154.97</v>
          </cell>
        </row>
        <row r="12">
          <cell r="A12" t="str">
            <v>American Funds EuroPacific R4</v>
          </cell>
          <cell r="J12">
            <v>34712.300000000003</v>
          </cell>
        </row>
        <row r="13">
          <cell r="A13" t="str">
            <v>American Funds Growth Fnd R4</v>
          </cell>
          <cell r="J13">
            <v>503407.26</v>
          </cell>
        </row>
        <row r="14">
          <cell r="A14" t="str">
            <v>American Funds Nw Prspctv R4</v>
          </cell>
          <cell r="J14">
            <v>282664.2</v>
          </cell>
        </row>
        <row r="15">
          <cell r="A15" t="str">
            <v>American Funds Wash Mtual R4</v>
          </cell>
          <cell r="J15">
            <v>227912.74</v>
          </cell>
        </row>
        <row r="16">
          <cell r="A16" t="str">
            <v>Calvert VP SRI Balanced Port</v>
          </cell>
          <cell r="J16">
            <v>281341.03999999998</v>
          </cell>
        </row>
        <row r="17">
          <cell r="A17" t="str">
            <v>Fidelity VIP Contrafund Pt I</v>
          </cell>
          <cell r="J17">
            <v>1130101.69</v>
          </cell>
        </row>
        <row r="18">
          <cell r="A18" t="str">
            <v>Fidelity VIP Eqty-Inc Prt I</v>
          </cell>
          <cell r="J18">
            <v>149691.88</v>
          </cell>
        </row>
        <row r="19">
          <cell r="A19" t="str">
            <v>Fidelity VIP Growth Port I</v>
          </cell>
          <cell r="J19">
            <v>738373.73</v>
          </cell>
        </row>
        <row r="20">
          <cell r="A20" t="str">
            <v>Fidelity VIP Overseas Prt I</v>
          </cell>
          <cell r="J20">
            <v>64118.6</v>
          </cell>
        </row>
        <row r="21">
          <cell r="A21" t="str">
            <v>Franklin Small Cap Val VIP 2</v>
          </cell>
          <cell r="J21">
            <v>139852.98000000001</v>
          </cell>
        </row>
        <row r="22">
          <cell r="A22" t="str">
            <v>Inv Dev Mrkts Fd A</v>
          </cell>
          <cell r="J22">
            <v>389234.7</v>
          </cell>
        </row>
        <row r="23">
          <cell r="A23" t="str">
            <v>Invesco VI Amr Franchise Fd I</v>
          </cell>
          <cell r="J23">
            <v>31750.37</v>
          </cell>
        </row>
        <row r="24">
          <cell r="A24" t="str">
            <v>Invesco VI Core Eqty Fund SI</v>
          </cell>
          <cell r="J24">
            <v>159297.60000000001</v>
          </cell>
        </row>
        <row r="25">
          <cell r="A25" t="str">
            <v>Lord Abbett Srs Fd Gr&amp;In Pt VC</v>
          </cell>
          <cell r="J25">
            <v>45705.18</v>
          </cell>
        </row>
        <row r="26">
          <cell r="A26" t="str">
            <v>Lord Abbett Srs Fd MC St Pt VC</v>
          </cell>
          <cell r="J26">
            <v>73774.039999999994</v>
          </cell>
        </row>
        <row r="27">
          <cell r="A27" t="str">
            <v>PIMCO VIT Real Return Port Adm</v>
          </cell>
          <cell r="J27">
            <v>35191.47</v>
          </cell>
        </row>
        <row r="28">
          <cell r="A28" t="str">
            <v>Pax Sust Alloc Fund Inv</v>
          </cell>
          <cell r="J28">
            <v>31396.75</v>
          </cell>
        </row>
        <row r="29">
          <cell r="A29" t="str">
            <v>Pioneer Eqty Income VCT Port I</v>
          </cell>
          <cell r="J29">
            <v>167429.76999999999</v>
          </cell>
        </row>
        <row r="30">
          <cell r="A30" t="str">
            <v>Pioneer Fund VCT Portfolio I</v>
          </cell>
          <cell r="J30">
            <v>212421.15</v>
          </cell>
        </row>
        <row r="31">
          <cell r="A31" t="str">
            <v>Pioneer High Yield VCT Port I</v>
          </cell>
          <cell r="J31">
            <v>78399.320000000007</v>
          </cell>
        </row>
        <row r="32">
          <cell r="A32" t="str">
            <v>Pioneer MdCp Value VCT Port I</v>
          </cell>
          <cell r="J32">
            <v>103017.86</v>
          </cell>
        </row>
        <row r="33">
          <cell r="A33" t="str">
            <v>Templeton Global Bond Fund A</v>
          </cell>
          <cell r="J33">
            <v>203003.66</v>
          </cell>
        </row>
        <row r="34">
          <cell r="A34" t="str">
            <v>VY AmCen Sm-MdCp Vl Pt Srv</v>
          </cell>
          <cell r="J34">
            <v>88627.51</v>
          </cell>
        </row>
        <row r="35">
          <cell r="A35" t="str">
            <v>VY Baron Growth Port Srv</v>
          </cell>
          <cell r="J35">
            <v>548319.84</v>
          </cell>
        </row>
        <row r="36">
          <cell r="A36" t="str">
            <v>VY Clarion Glb RlEst Prt Ins</v>
          </cell>
          <cell r="J36">
            <v>30886.74</v>
          </cell>
        </row>
        <row r="37">
          <cell r="A37" t="str">
            <v>VY Col Contr Core Port Srv</v>
          </cell>
          <cell r="J37">
            <v>29812.85</v>
          </cell>
        </row>
        <row r="38">
          <cell r="A38" t="str">
            <v>VY Inv Glob Portf - Init Cl</v>
          </cell>
          <cell r="J38">
            <v>877464.75</v>
          </cell>
        </row>
        <row r="39">
          <cell r="A39" t="str">
            <v>VY Invesco Comstock Port Srv</v>
          </cell>
          <cell r="J39">
            <v>105910.02</v>
          </cell>
        </row>
        <row r="40">
          <cell r="A40" t="str">
            <v>VY Invesco Eqty &amp; Inc Pt I</v>
          </cell>
          <cell r="J40">
            <v>146011.96</v>
          </cell>
        </row>
        <row r="41">
          <cell r="A41" t="str">
            <v>VY Invesco Eqty &amp; Inc Pt Srv</v>
          </cell>
          <cell r="J41">
            <v>158.47999999999999</v>
          </cell>
        </row>
        <row r="42">
          <cell r="A42" t="str">
            <v>VY JPM MdCp Value Port Srv</v>
          </cell>
          <cell r="J42">
            <v>110673.05</v>
          </cell>
        </row>
        <row r="43">
          <cell r="A43" t="str">
            <v>VY TRwPr Divr MdCp Gr Pt I</v>
          </cell>
          <cell r="J43">
            <v>494885.81</v>
          </cell>
        </row>
        <row r="44">
          <cell r="A44" t="str">
            <v>VY TRwPr Eqty Income Prt Srv</v>
          </cell>
          <cell r="J44">
            <v>33400.49</v>
          </cell>
        </row>
        <row r="45">
          <cell r="A45" t="str">
            <v>VY TRwPr Grw Eqty Pt I</v>
          </cell>
          <cell r="J45">
            <v>717003.67</v>
          </cell>
        </row>
        <row r="46">
          <cell r="A46" t="str">
            <v>VoyIntlHiDivLow Vol Port-Srv</v>
          </cell>
          <cell r="J46">
            <v>35848.6</v>
          </cell>
        </row>
        <row r="47">
          <cell r="A47" t="str">
            <v>Voya Balanced Portfolio I</v>
          </cell>
          <cell r="J47">
            <v>38352.769999999997</v>
          </cell>
        </row>
        <row r="48">
          <cell r="A48" t="str">
            <v>Voya Fixed Account 457/401</v>
          </cell>
          <cell r="J48">
            <v>3148343.76</v>
          </cell>
        </row>
        <row r="49">
          <cell r="A49" t="str">
            <v>Voya Global Bond Port I</v>
          </cell>
          <cell r="J49">
            <v>25277.61</v>
          </cell>
        </row>
        <row r="50">
          <cell r="A50" t="str">
            <v>Voya Gov Money Market Port I</v>
          </cell>
          <cell r="J50">
            <v>0</v>
          </cell>
        </row>
        <row r="51">
          <cell r="A51" t="str">
            <v>Voya Growth and Income Port I</v>
          </cell>
          <cell r="J51">
            <v>318521.28000000003</v>
          </cell>
        </row>
        <row r="52">
          <cell r="A52" t="str">
            <v>Voya Growth and Income Port S</v>
          </cell>
          <cell r="J52">
            <v>52524.23</v>
          </cell>
        </row>
        <row r="53">
          <cell r="A53" t="str">
            <v>Voya Index Plus LargeCap Prt I</v>
          </cell>
          <cell r="J53">
            <v>216042.88</v>
          </cell>
        </row>
        <row r="54">
          <cell r="A54" t="str">
            <v>Voya Index Plus MidCap Prt I</v>
          </cell>
          <cell r="J54">
            <v>594276.48</v>
          </cell>
        </row>
        <row r="55">
          <cell r="A55" t="str">
            <v>Voya Index Plus SmallCap Prt I</v>
          </cell>
          <cell r="J55">
            <v>179269.52</v>
          </cell>
        </row>
        <row r="56">
          <cell r="A56" t="str">
            <v>Voya Intermediate Bond Prt I</v>
          </cell>
          <cell r="J56">
            <v>211434.67</v>
          </cell>
        </row>
        <row r="57">
          <cell r="A57" t="str">
            <v>Voya Intermediate Bond Prt S</v>
          </cell>
          <cell r="J57">
            <v>150226.43</v>
          </cell>
        </row>
        <row r="58">
          <cell r="A58" t="str">
            <v>Voya International Ind Prt I</v>
          </cell>
          <cell r="J58">
            <v>15681.34</v>
          </cell>
        </row>
        <row r="59">
          <cell r="A59" t="str">
            <v>Voya Large Cap Growth Prt Ins</v>
          </cell>
          <cell r="J59">
            <v>546592.38</v>
          </cell>
        </row>
        <row r="60">
          <cell r="A60" t="str">
            <v>Voya Long-Term GAA (4560)</v>
          </cell>
          <cell r="J60">
            <v>342.73</v>
          </cell>
        </row>
        <row r="61">
          <cell r="A61" t="str">
            <v>Voya Mid Cap Opport Port I</v>
          </cell>
          <cell r="J61">
            <v>160401.44</v>
          </cell>
        </row>
        <row r="62">
          <cell r="A62" t="str">
            <v>Voya SmCp Opport Port I</v>
          </cell>
          <cell r="J62">
            <v>77467.16</v>
          </cell>
        </row>
        <row r="63">
          <cell r="A63" t="str">
            <v>Voya Small Company Port I</v>
          </cell>
          <cell r="J63">
            <v>92839.3</v>
          </cell>
        </row>
        <row r="64">
          <cell r="A64" t="str">
            <v>Voya Solution 2025 Port Srv</v>
          </cell>
          <cell r="J64">
            <v>5946.8</v>
          </cell>
        </row>
        <row r="65">
          <cell r="A65" t="str">
            <v>Voya Solution 2035 Port Srv</v>
          </cell>
          <cell r="J65">
            <v>33629.599999999999</v>
          </cell>
        </row>
        <row r="66">
          <cell r="A66" t="str">
            <v>Voya Solution 2040 Port Srv</v>
          </cell>
          <cell r="J66">
            <v>6847.94</v>
          </cell>
        </row>
        <row r="67">
          <cell r="A67" t="str">
            <v>Voya Solution 2045 Port Srv</v>
          </cell>
          <cell r="J67">
            <v>98604.1</v>
          </cell>
        </row>
        <row r="68">
          <cell r="A68" t="str">
            <v>Voya Solution 2050 Port Srv</v>
          </cell>
          <cell r="J68">
            <v>386.16</v>
          </cell>
        </row>
        <row r="69">
          <cell r="A69" t="str">
            <v>Voya Solution 2055 Port Srv</v>
          </cell>
          <cell r="J69">
            <v>25634.67</v>
          </cell>
        </row>
        <row r="70">
          <cell r="A70" t="str">
            <v>Voya Solution 2060 Port Srv</v>
          </cell>
          <cell r="J70">
            <v>4265.49</v>
          </cell>
        </row>
        <row r="71">
          <cell r="A71" t="str">
            <v>Voya Solution Income Pt Srv</v>
          </cell>
          <cell r="J71">
            <v>61597.73</v>
          </cell>
        </row>
        <row r="72">
          <cell r="A72" t="str">
            <v>Voya Strategic Alloc Cns Prt I</v>
          </cell>
          <cell r="J72">
            <v>51855.23</v>
          </cell>
        </row>
        <row r="73">
          <cell r="A73" t="str">
            <v>Voya Strategic Alloc Grw Prt I</v>
          </cell>
          <cell r="J73">
            <v>54474.17</v>
          </cell>
        </row>
        <row r="74">
          <cell r="A74" t="str">
            <v>Voya Strategic Alloc Mod Prt I</v>
          </cell>
          <cell r="J74">
            <v>43400.92</v>
          </cell>
        </row>
        <row r="75">
          <cell r="A75" t="str">
            <v>Wanger Select</v>
          </cell>
          <cell r="J75">
            <v>101721.94</v>
          </cell>
        </row>
        <row r="76">
          <cell r="A76" t="str">
            <v>Wanger USA</v>
          </cell>
          <cell r="J76">
            <v>132537.22</v>
          </cell>
        </row>
        <row r="77">
          <cell r="J77">
            <v>14965682.109999999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E4A3B-2EA2-4A16-9472-42E2A2B52EB3}">
  <dimension ref="A1:K37"/>
  <sheetViews>
    <sheetView tabSelected="1" workbookViewId="0">
      <selection activeCell="H13" sqref="H13"/>
    </sheetView>
  </sheetViews>
  <sheetFormatPr defaultRowHeight="15" x14ac:dyDescent="0.25"/>
  <cols>
    <col min="1" max="1" width="45.140625" bestFit="1" customWidth="1"/>
    <col min="2" max="2" width="10" customWidth="1"/>
    <col min="3" max="3" width="32" bestFit="1" customWidth="1"/>
    <col min="4" max="6" width="16" customWidth="1"/>
    <col min="7" max="7" width="16" style="40" customWidth="1"/>
    <col min="8" max="8" width="19.140625" bestFit="1" customWidth="1"/>
    <col min="9" max="9" width="11.42578125" customWidth="1"/>
    <col min="10" max="10" width="20.42578125" customWidth="1"/>
    <col min="11" max="11" width="17.7109375" customWidth="1"/>
  </cols>
  <sheetData>
    <row r="1" spans="1:11" ht="18.75" x14ac:dyDescent="0.3">
      <c r="A1" s="52" t="str">
        <f>+Plan_Data!A1</f>
        <v>City of Springfield 457 Deferred Compensation Plan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8.75" x14ac:dyDescent="0.3">
      <c r="A2" s="54" t="s">
        <v>280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55" t="s">
        <v>335</v>
      </c>
      <c r="B3" s="56"/>
      <c r="C3" s="56"/>
      <c r="D3" s="56"/>
      <c r="E3" s="56"/>
      <c r="F3" s="56"/>
      <c r="G3" s="57"/>
      <c r="H3" s="34"/>
      <c r="I3" s="58" t="s">
        <v>232</v>
      </c>
      <c r="J3" s="59"/>
      <c r="K3" s="60"/>
    </row>
    <row r="4" spans="1:11" ht="75" x14ac:dyDescent="0.25">
      <c r="A4" s="1" t="s">
        <v>203</v>
      </c>
      <c r="B4" s="2" t="s">
        <v>0</v>
      </c>
      <c r="C4" s="1" t="s">
        <v>202</v>
      </c>
      <c r="D4" s="2" t="s">
        <v>274</v>
      </c>
      <c r="E4" s="2" t="s">
        <v>326</v>
      </c>
      <c r="F4" s="2" t="s">
        <v>273</v>
      </c>
      <c r="G4" s="1" t="s">
        <v>15</v>
      </c>
      <c r="H4" s="2" t="s">
        <v>233</v>
      </c>
      <c r="I4" s="1" t="s">
        <v>234</v>
      </c>
      <c r="J4" s="2" t="s">
        <v>235</v>
      </c>
      <c r="K4" s="2" t="s">
        <v>236</v>
      </c>
    </row>
    <row r="5" spans="1:11" x14ac:dyDescent="0.25">
      <c r="A5" s="32" t="s">
        <v>205</v>
      </c>
      <c r="B5" s="16" t="s">
        <v>206</v>
      </c>
      <c r="C5" s="32" t="s">
        <v>204</v>
      </c>
      <c r="D5" s="35">
        <f>+SUMIF(ogsp!$B$2:$B$42,C5,ogsp!$C$2:$C$42)</f>
        <v>1471499.8800000001</v>
      </c>
      <c r="E5" s="35">
        <f>+ICMA!E19+ICMA!E20+ICMA!E21</f>
        <v>442589.91000000003</v>
      </c>
      <c r="F5" s="35">
        <f>+SUM(voya!C23:C28)</f>
        <v>689503.79999999993</v>
      </c>
      <c r="G5" s="36">
        <f>+D5+E5+F5</f>
        <v>2603593.59</v>
      </c>
      <c r="H5" s="47"/>
      <c r="I5" s="48"/>
      <c r="J5" s="48"/>
      <c r="K5" s="48"/>
    </row>
    <row r="6" spans="1:11" x14ac:dyDescent="0.25">
      <c r="A6" s="32" t="s">
        <v>285</v>
      </c>
      <c r="B6" s="16" t="s">
        <v>208</v>
      </c>
      <c r="C6" s="31" t="s">
        <v>207</v>
      </c>
      <c r="D6" s="35">
        <f>+SUMIF(ogsp!$B$2:$B$42,C6,ogsp!$C$2:$C$42)</f>
        <v>3326926.12</v>
      </c>
      <c r="E6" s="35">
        <f>+ICMA!E11+ICMA!E12+ICMA!E13+ICMA!E14</f>
        <v>278525.27999999997</v>
      </c>
      <c r="F6" s="35">
        <f>+SUM(voya!C11:C16)</f>
        <v>1057235.1300000001</v>
      </c>
      <c r="G6" s="36">
        <f t="shared" ref="G6:G33" si="0">+D6+E6+F6</f>
        <v>4662686.53</v>
      </c>
      <c r="H6" s="47"/>
      <c r="I6" s="48"/>
      <c r="J6" s="48"/>
      <c r="K6" s="48"/>
    </row>
    <row r="7" spans="1:11" x14ac:dyDescent="0.25">
      <c r="A7" s="3" t="s">
        <v>286</v>
      </c>
      <c r="B7" s="16" t="s">
        <v>287</v>
      </c>
      <c r="C7" s="3" t="s">
        <v>209</v>
      </c>
      <c r="D7" s="35">
        <f>+SUMIF(ogsp!$B$2:$B$42,C7,ogsp!$C$2:$C$42)</f>
        <v>2864286.1700000004</v>
      </c>
      <c r="E7" s="35">
        <f>+ICMA!E15+ICMA!E16+ICMA!E17+ICMA!E18</f>
        <v>1534740.27</v>
      </c>
      <c r="F7" s="35">
        <f>+SUM(voya!C17:C22)</f>
        <v>3667229.0999999996</v>
      </c>
      <c r="G7" s="36">
        <f t="shared" si="0"/>
        <v>8066255.54</v>
      </c>
      <c r="H7" s="47"/>
      <c r="I7" s="48"/>
      <c r="J7" s="48"/>
      <c r="K7" s="48"/>
    </row>
    <row r="8" spans="1:11" x14ac:dyDescent="0.25">
      <c r="A8" s="32" t="s">
        <v>281</v>
      </c>
      <c r="B8" s="16" t="s">
        <v>288</v>
      </c>
      <c r="C8" s="32" t="s">
        <v>263</v>
      </c>
      <c r="D8" s="35">
        <f>+SUMIF(ogsp!$B$2:$B$42,C8,ogsp!$C$2:$C$42)</f>
        <v>0</v>
      </c>
      <c r="E8" s="35">
        <f>+ICMA!E29</f>
        <v>403670.29000000004</v>
      </c>
      <c r="F8" s="35">
        <f>+SUM(voya!C43:C46)</f>
        <v>348023.6</v>
      </c>
      <c r="G8" s="36">
        <f t="shared" si="0"/>
        <v>751693.89</v>
      </c>
      <c r="H8" s="47"/>
      <c r="I8" s="48"/>
      <c r="J8" s="48"/>
      <c r="K8" s="48"/>
    </row>
    <row r="9" spans="1:11" x14ac:dyDescent="0.25">
      <c r="A9" s="32" t="s">
        <v>289</v>
      </c>
      <c r="B9" s="16" t="s">
        <v>211</v>
      </c>
      <c r="C9" s="32" t="s">
        <v>210</v>
      </c>
      <c r="D9" s="35">
        <f>+SUMIF(ogsp!$B$2:$B$42,C9,ogsp!$C$2:$C$42)</f>
        <v>0</v>
      </c>
      <c r="E9" s="35">
        <v>0</v>
      </c>
      <c r="F9" s="35">
        <f>+voya!C38</f>
        <v>594276.48</v>
      </c>
      <c r="G9" s="36">
        <f t="shared" si="0"/>
        <v>594276.48</v>
      </c>
      <c r="H9" s="47"/>
      <c r="I9" s="48"/>
      <c r="J9" s="48"/>
      <c r="K9" s="48"/>
    </row>
    <row r="10" spans="1:11" x14ac:dyDescent="0.25">
      <c r="A10" s="32" t="s">
        <v>283</v>
      </c>
      <c r="B10" s="16" t="s">
        <v>282</v>
      </c>
      <c r="C10" s="32" t="s">
        <v>266</v>
      </c>
      <c r="D10" s="35">
        <f>+SUMIF(ogsp!$B$2:$B$42,C10,ogsp!$C$2:$C$42)</f>
        <v>0</v>
      </c>
      <c r="E10" s="35">
        <f>+ICMA!E26+ICMA!E27+ICMA!E28</f>
        <v>191425.37000000002</v>
      </c>
      <c r="F10" s="35">
        <f>+voya!C39+voya!C40+voya!C41+voya!C42</f>
        <v>1305329.03</v>
      </c>
      <c r="G10" s="36">
        <f t="shared" si="0"/>
        <v>1496754.4000000001</v>
      </c>
      <c r="H10" s="47"/>
      <c r="I10" s="48"/>
      <c r="J10" s="48"/>
      <c r="K10" s="48"/>
    </row>
    <row r="11" spans="1:11" x14ac:dyDescent="0.25">
      <c r="A11" s="32" t="s">
        <v>284</v>
      </c>
      <c r="B11" s="16" t="s">
        <v>291</v>
      </c>
      <c r="C11" s="32" t="s">
        <v>212</v>
      </c>
      <c r="D11" s="35">
        <f>+SUMIF(ogsp!$B$2:$B$42,C11,ogsp!$C$2:$C$42)</f>
        <v>2222722.5</v>
      </c>
      <c r="E11" s="35">
        <f>+ICMA!E35</f>
        <v>19723.510000000002</v>
      </c>
      <c r="F11" s="35">
        <f>+voya!C54+voya!C55</f>
        <v>300082.11</v>
      </c>
      <c r="G11" s="36">
        <f t="shared" si="0"/>
        <v>2542528.1199999996</v>
      </c>
      <c r="H11" s="47"/>
      <c r="I11" s="48"/>
      <c r="J11" s="48"/>
      <c r="K11" s="48"/>
    </row>
    <row r="12" spans="1:11" x14ac:dyDescent="0.25">
      <c r="A12" s="32" t="s">
        <v>290</v>
      </c>
      <c r="B12" s="16" t="s">
        <v>214</v>
      </c>
      <c r="C12" s="32" t="s">
        <v>213</v>
      </c>
      <c r="D12" s="35">
        <f>+SUMIF(ogsp!$B$2:$B$42,C12,ogsp!$C$2:$C$42)</f>
        <v>0</v>
      </c>
      <c r="E12" s="35">
        <f>+ICMA!E32</f>
        <v>83847.55</v>
      </c>
      <c r="F12" s="35">
        <f>+voya!C50+voya!C51</f>
        <v>256736.68</v>
      </c>
      <c r="G12" s="36">
        <f t="shared" si="0"/>
        <v>340584.23</v>
      </c>
      <c r="H12" s="47"/>
      <c r="I12" s="48"/>
      <c r="J12" s="48"/>
      <c r="K12" s="48"/>
    </row>
    <row r="13" spans="1:11" x14ac:dyDescent="0.25">
      <c r="A13" s="32" t="s">
        <v>292</v>
      </c>
      <c r="B13" s="16" t="s">
        <v>293</v>
      </c>
      <c r="C13" s="32" t="s">
        <v>215</v>
      </c>
      <c r="D13" s="35">
        <f>+SUMIF(ogsp!$B$2:$B$42,C13,ogsp!$C$2:$C$42)</f>
        <v>0</v>
      </c>
      <c r="E13" s="35">
        <f>+ICMA!E33+ICMA!E34</f>
        <v>413692.31</v>
      </c>
      <c r="F13" s="35">
        <f>+voya!C52+voya!C53</f>
        <v>225376.52000000002</v>
      </c>
      <c r="G13" s="36">
        <f t="shared" si="0"/>
        <v>639068.83000000007</v>
      </c>
      <c r="H13" s="47"/>
      <c r="I13" s="48"/>
      <c r="J13" s="48"/>
      <c r="K13" s="48"/>
    </row>
    <row r="14" spans="1:11" x14ac:dyDescent="0.25">
      <c r="A14" s="3" t="s">
        <v>294</v>
      </c>
      <c r="B14" s="16" t="s">
        <v>295</v>
      </c>
      <c r="C14" s="32" t="s">
        <v>239</v>
      </c>
      <c r="D14" s="35">
        <f>+SUMIF(ogsp!$B$2:$B$42,C14,ogsp!$C$2:$C$42)</f>
        <v>1077722.81</v>
      </c>
      <c r="E14" s="35">
        <f>+ICMA!E5</f>
        <v>105253.27</v>
      </c>
      <c r="F14" s="35">
        <f>+voya!C6</f>
        <v>35848.6</v>
      </c>
      <c r="G14" s="36">
        <f t="shared" si="0"/>
        <v>1218824.6800000002</v>
      </c>
      <c r="H14" s="47"/>
      <c r="I14" s="48"/>
      <c r="J14" s="48"/>
      <c r="K14" s="48"/>
    </row>
    <row r="15" spans="1:11" x14ac:dyDescent="0.25">
      <c r="A15" s="32" t="s">
        <v>296</v>
      </c>
      <c r="B15" s="16" t="s">
        <v>217</v>
      </c>
      <c r="C15" s="32" t="s">
        <v>218</v>
      </c>
      <c r="D15" s="35">
        <f>+SUMIF(ogsp!$B$2:$B$42,C15,ogsp!$C$2:$C$42)</f>
        <v>0</v>
      </c>
      <c r="E15" s="35">
        <f>+ICMA!E4+ICMA!E3</f>
        <v>161421.28</v>
      </c>
      <c r="F15" s="35">
        <f>+voya!C3+voya!C4+voya!C5</f>
        <v>114512.23999999999</v>
      </c>
      <c r="G15" s="36">
        <f t="shared" si="0"/>
        <v>275933.52</v>
      </c>
      <c r="H15" s="47"/>
      <c r="I15" s="48"/>
      <c r="J15" s="48"/>
      <c r="K15" s="48"/>
    </row>
    <row r="16" spans="1:11" x14ac:dyDescent="0.25">
      <c r="A16" s="32" t="s">
        <v>297</v>
      </c>
      <c r="B16" s="16" t="s">
        <v>298</v>
      </c>
      <c r="C16" s="32" t="s">
        <v>259</v>
      </c>
      <c r="D16" s="35">
        <f>+SUMIF(ogsp!$B$2:$B$42,C16,ogsp!$C$2:$C$42)</f>
        <v>0</v>
      </c>
      <c r="E16" s="35">
        <f>+ICMA!E2</f>
        <v>12101.32</v>
      </c>
      <c r="F16" s="35">
        <f>+voya!C2</f>
        <v>389234.7</v>
      </c>
      <c r="G16" s="36">
        <f t="shared" si="0"/>
        <v>401336.02</v>
      </c>
      <c r="H16" s="47"/>
      <c r="I16" s="48"/>
      <c r="J16" s="48"/>
      <c r="K16" s="48"/>
    </row>
    <row r="17" spans="1:11" x14ac:dyDescent="0.25">
      <c r="A17" s="32" t="s">
        <v>299</v>
      </c>
      <c r="B17" s="16" t="s">
        <v>307</v>
      </c>
      <c r="C17" s="32" t="s">
        <v>220</v>
      </c>
      <c r="D17" s="35">
        <f>+SUMIF(ogsp!$B$2:$B$42,C17,ogsp!$C$2:$C$42)</f>
        <v>684618.57</v>
      </c>
      <c r="E17" s="35">
        <f>+ICMA!E37+ICMA!E45+ICMA!I15</f>
        <v>302646.37875000003</v>
      </c>
      <c r="F17" s="35">
        <f>+voya!C65+voya!G31</f>
        <v>149366.01624999999</v>
      </c>
      <c r="G17" s="36">
        <f t="shared" si="0"/>
        <v>1136630.9649999999</v>
      </c>
      <c r="H17" s="47"/>
      <c r="I17" s="48"/>
      <c r="J17" s="48"/>
      <c r="K17" s="48"/>
    </row>
    <row r="18" spans="1:11" x14ac:dyDescent="0.25">
      <c r="A18" s="32" t="s">
        <v>300</v>
      </c>
      <c r="B18" s="16" t="s">
        <v>308</v>
      </c>
      <c r="C18" s="32" t="s">
        <v>221</v>
      </c>
      <c r="D18" s="35">
        <f>+SUMIF(ogsp!$B$2:$B$42,C18,ogsp!$C$2:$C$42)</f>
        <v>926543.39</v>
      </c>
      <c r="E18" s="35">
        <f>+ICMA!E38+ICMA!I15</f>
        <v>171371.92874999999</v>
      </c>
      <c r="F18" s="35">
        <f>+voya!C58+voya!G31</f>
        <v>93715.086249999993</v>
      </c>
      <c r="G18" s="36">
        <f t="shared" si="0"/>
        <v>1191630.405</v>
      </c>
      <c r="H18" s="47"/>
      <c r="I18" s="48"/>
      <c r="J18" s="48"/>
      <c r="K18" s="48"/>
    </row>
    <row r="19" spans="1:11" x14ac:dyDescent="0.25">
      <c r="A19" s="32" t="s">
        <v>301</v>
      </c>
      <c r="B19" s="16" t="s">
        <v>309</v>
      </c>
      <c r="C19" s="32" t="s">
        <v>222</v>
      </c>
      <c r="D19" s="35">
        <f>+SUMIF(ogsp!$B$2:$B$42,C19,ogsp!$C$2:$C$42)</f>
        <v>1436081.42</v>
      </c>
      <c r="E19" s="35">
        <f>+ICMA!E39+ICMA!I15</f>
        <v>314559.04874999996</v>
      </c>
      <c r="F19" s="35">
        <v>0</v>
      </c>
      <c r="G19" s="36">
        <f t="shared" si="0"/>
        <v>1750640.46875</v>
      </c>
      <c r="H19" s="47"/>
      <c r="I19" s="48"/>
      <c r="J19" s="48"/>
      <c r="K19" s="48"/>
    </row>
    <row r="20" spans="1:11" x14ac:dyDescent="0.25">
      <c r="A20" s="32" t="s">
        <v>302</v>
      </c>
      <c r="B20" s="16" t="s">
        <v>310</v>
      </c>
      <c r="C20" s="32" t="s">
        <v>223</v>
      </c>
      <c r="D20" s="35">
        <f>+SUMIF(ogsp!$B$2:$B$42,C20,ogsp!$C$2:$C$42)</f>
        <v>886510.87</v>
      </c>
      <c r="E20" s="35">
        <f>+ICMA!E40+ICMA!I15</f>
        <v>638950.27874999994</v>
      </c>
      <c r="F20" s="35">
        <f>+voya!C59+voya!G31</f>
        <v>121397.88624999998</v>
      </c>
      <c r="G20" s="36">
        <f t="shared" si="0"/>
        <v>1646859.0349999999</v>
      </c>
      <c r="H20" s="47"/>
      <c r="I20" s="48"/>
      <c r="J20" s="48"/>
      <c r="K20" s="48"/>
    </row>
    <row r="21" spans="1:11" x14ac:dyDescent="0.25">
      <c r="A21" s="32" t="s">
        <v>303</v>
      </c>
      <c r="B21" s="16" t="s">
        <v>311</v>
      </c>
      <c r="C21" s="32" t="s">
        <v>224</v>
      </c>
      <c r="D21" s="35">
        <f>+SUMIF(ogsp!$B$2:$B$42,C21,ogsp!$C$2:$C$42)</f>
        <v>968199.33000000007</v>
      </c>
      <c r="E21" s="35">
        <f>+ICMA!E41+ICMA!I15</f>
        <v>340223.41874999995</v>
      </c>
      <c r="F21" s="35">
        <f>+voya!C60+voya!G31</f>
        <v>94616.226249999992</v>
      </c>
      <c r="G21" s="36">
        <f t="shared" si="0"/>
        <v>1403038.9750000001</v>
      </c>
      <c r="H21" s="47"/>
      <c r="I21" s="48"/>
      <c r="J21" s="48"/>
      <c r="K21" s="48"/>
    </row>
    <row r="22" spans="1:11" x14ac:dyDescent="0.25">
      <c r="A22" s="32" t="s">
        <v>304</v>
      </c>
      <c r="B22" s="16" t="s">
        <v>312</v>
      </c>
      <c r="C22" s="32" t="s">
        <v>225</v>
      </c>
      <c r="D22" s="35">
        <f>+SUMIF(ogsp!$B$2:$B$42,C22,ogsp!$C$2:$C$42)</f>
        <v>943424.58000000007</v>
      </c>
      <c r="E22" s="35">
        <f>+ICMA!E42+ICMA!I15</f>
        <v>198602.80875000003</v>
      </c>
      <c r="F22" s="35">
        <f>+voya!C61+voya!G31</f>
        <v>186372.38624999998</v>
      </c>
      <c r="G22" s="36">
        <f t="shared" si="0"/>
        <v>1328399.7750000001</v>
      </c>
      <c r="H22" s="47"/>
      <c r="I22" s="48"/>
      <c r="J22" s="48"/>
      <c r="K22" s="48"/>
    </row>
    <row r="23" spans="1:11" x14ac:dyDescent="0.25">
      <c r="A23" s="32" t="s">
        <v>305</v>
      </c>
      <c r="B23" s="16" t="s">
        <v>313</v>
      </c>
      <c r="C23" s="31" t="s">
        <v>226</v>
      </c>
      <c r="D23" s="35">
        <f>+SUMIF(ogsp!$B$2:$B$42,C23,ogsp!$C$2:$C$42)</f>
        <v>123017.23</v>
      </c>
      <c r="E23" s="35">
        <f>+ICMA!E43+ICMA!I15</f>
        <v>133916.95874999999</v>
      </c>
      <c r="F23" s="35">
        <f>+voya!C62+voya!G31</f>
        <v>88154.446249999994</v>
      </c>
      <c r="G23" s="36">
        <f t="shared" si="0"/>
        <v>345088.63499999995</v>
      </c>
      <c r="H23" s="47"/>
      <c r="I23" s="48"/>
      <c r="J23" s="48"/>
      <c r="K23" s="48"/>
    </row>
    <row r="24" spans="1:11" x14ac:dyDescent="0.25">
      <c r="A24" s="32" t="s">
        <v>306</v>
      </c>
      <c r="B24" s="16" t="s">
        <v>314</v>
      </c>
      <c r="C24" s="31" t="s">
        <v>227</v>
      </c>
      <c r="D24" s="35">
        <f>+SUMIF(ogsp!$B$2:$B$42,C24,ogsp!$C$2:$C$42)</f>
        <v>245493.74</v>
      </c>
      <c r="E24" s="35">
        <f>+ICMA!E44+ICMA!I15</f>
        <v>125568.87875</v>
      </c>
      <c r="F24" s="35">
        <f>+voya!C63+voya!G31</f>
        <v>113402.95624999999</v>
      </c>
      <c r="G24" s="36">
        <f t="shared" si="0"/>
        <v>484465.57500000001</v>
      </c>
      <c r="H24" s="47"/>
      <c r="I24" s="48"/>
      <c r="J24" s="48"/>
      <c r="K24" s="48"/>
    </row>
    <row r="25" spans="1:11" x14ac:dyDescent="0.25">
      <c r="A25" s="32" t="s">
        <v>317</v>
      </c>
      <c r="B25" s="16" t="s">
        <v>315</v>
      </c>
      <c r="C25" s="31" t="s">
        <v>228</v>
      </c>
      <c r="D25" s="35">
        <v>3476.05</v>
      </c>
      <c r="E25" s="35">
        <v>0</v>
      </c>
      <c r="F25" s="35">
        <f>+voya!C64+voya!G31</f>
        <v>92033.776249999995</v>
      </c>
      <c r="G25" s="36">
        <f t="shared" si="0"/>
        <v>95509.826249999998</v>
      </c>
      <c r="H25" s="47"/>
      <c r="I25" s="48"/>
      <c r="J25" s="48"/>
      <c r="K25" s="48"/>
    </row>
    <row r="26" spans="1:11" x14ac:dyDescent="0.25">
      <c r="A26" s="32" t="s">
        <v>318</v>
      </c>
      <c r="B26" s="16" t="s">
        <v>316</v>
      </c>
      <c r="C26" s="31" t="s">
        <v>228</v>
      </c>
      <c r="D26" s="35">
        <v>2999.88</v>
      </c>
      <c r="E26" s="35">
        <v>0</v>
      </c>
      <c r="F26" s="35">
        <v>0</v>
      </c>
      <c r="G26" s="36">
        <f t="shared" si="0"/>
        <v>2999.88</v>
      </c>
      <c r="H26" s="47"/>
      <c r="I26" s="48"/>
      <c r="J26" s="48"/>
      <c r="K26" s="48"/>
    </row>
    <row r="27" spans="1:11" x14ac:dyDescent="0.25">
      <c r="A27" s="32" t="s">
        <v>319</v>
      </c>
      <c r="B27" s="16" t="s">
        <v>320</v>
      </c>
      <c r="C27" s="31" t="s">
        <v>260</v>
      </c>
      <c r="D27" s="35">
        <f>+SUMIF(ogsp!$B$2:$B$42,C27,ogsp!$C$2:$C$42)</f>
        <v>0</v>
      </c>
      <c r="E27" s="35">
        <f>+ICMA!E31</f>
        <v>116971.23999999999</v>
      </c>
      <c r="F27" s="35">
        <f>+voya!C49</f>
        <v>30886.74</v>
      </c>
      <c r="G27" s="36">
        <f t="shared" si="0"/>
        <v>147857.97999999998</v>
      </c>
      <c r="H27" s="47"/>
      <c r="I27" s="48"/>
      <c r="J27" s="48"/>
      <c r="K27" s="48"/>
    </row>
    <row r="28" spans="1:11" x14ac:dyDescent="0.25">
      <c r="A28" s="32" t="s">
        <v>321</v>
      </c>
      <c r="B28" s="16" t="s">
        <v>322</v>
      </c>
      <c r="C28" s="31" t="s">
        <v>258</v>
      </c>
      <c r="D28" s="35">
        <f>+SUMIF(ogsp!$B$2:$B$42,C28,ogsp!$C$2:$C$42)</f>
        <v>0</v>
      </c>
      <c r="E28" s="35">
        <f>+ICMA!E9+ICMA!E10</f>
        <v>156478.47</v>
      </c>
      <c r="F28" s="35">
        <f>+voya!C9+voya!C10</f>
        <v>361661.1</v>
      </c>
      <c r="G28" s="36">
        <f t="shared" si="0"/>
        <v>518139.56999999995</v>
      </c>
      <c r="H28" s="47"/>
      <c r="I28" s="48"/>
      <c r="J28" s="48"/>
      <c r="K28" s="48"/>
    </row>
    <row r="29" spans="1:11" x14ac:dyDescent="0.25">
      <c r="A29" s="32" t="s">
        <v>323</v>
      </c>
      <c r="B29" s="16" t="s">
        <v>324</v>
      </c>
      <c r="C29" s="31" t="s">
        <v>243</v>
      </c>
      <c r="D29" s="35">
        <f>+SUMIF(ogsp!$B$2:$B$42,C29,ogsp!$C$2:$C$42)</f>
        <v>1315643.4099999999</v>
      </c>
      <c r="E29" s="35">
        <f>+ICMA!E8+ICMA!E7+ICMA!E6</f>
        <v>671043.12</v>
      </c>
      <c r="F29" s="35">
        <f>+voya!C7+voya!C48+voya!C66+voya!C67+voya!C68+voya!C8</f>
        <v>1502001.01</v>
      </c>
      <c r="G29" s="36">
        <f t="shared" si="0"/>
        <v>3488687.54</v>
      </c>
      <c r="H29" s="47"/>
      <c r="I29" s="48"/>
      <c r="J29" s="48"/>
      <c r="K29" s="48"/>
    </row>
    <row r="30" spans="1:11" x14ac:dyDescent="0.25">
      <c r="A30" s="32" t="s">
        <v>275</v>
      </c>
      <c r="B30" s="33" t="s">
        <v>276</v>
      </c>
      <c r="C30" s="32" t="s">
        <v>240</v>
      </c>
      <c r="D30" s="35">
        <f>+SUMIF(ogsp!$B$2:$B$42,C30,ogsp!$C$2:$C$42)</f>
        <v>186801.43000000002</v>
      </c>
      <c r="E30" s="35">
        <v>0</v>
      </c>
      <c r="F30" s="35">
        <v>0</v>
      </c>
      <c r="G30" s="36">
        <f t="shared" si="0"/>
        <v>186801.43000000002</v>
      </c>
      <c r="H30" s="47"/>
      <c r="I30" s="48"/>
      <c r="J30" s="48"/>
      <c r="K30" s="48"/>
    </row>
    <row r="31" spans="1:11" x14ac:dyDescent="0.25">
      <c r="A31" s="32" t="s">
        <v>277</v>
      </c>
      <c r="B31" s="33" t="s">
        <v>276</v>
      </c>
      <c r="C31" s="32" t="s">
        <v>241</v>
      </c>
      <c r="D31" s="35">
        <f>+SUMIF(ogsp!$B$2:$B$42,C31,ogsp!$C$2:$C$42)</f>
        <v>63431.29</v>
      </c>
      <c r="E31" s="35">
        <v>0</v>
      </c>
      <c r="F31" s="35">
        <v>0</v>
      </c>
      <c r="G31" s="36">
        <f t="shared" si="0"/>
        <v>63431.29</v>
      </c>
      <c r="H31" s="49"/>
      <c r="I31" s="48"/>
      <c r="J31" s="48"/>
      <c r="K31" s="48"/>
    </row>
    <row r="32" spans="1:11" x14ac:dyDescent="0.25">
      <c r="A32" s="3" t="s">
        <v>278</v>
      </c>
      <c r="B32" s="33" t="s">
        <v>276</v>
      </c>
      <c r="C32" s="32" t="s">
        <v>230</v>
      </c>
      <c r="D32" s="35">
        <f>+SUMIF(ogsp!$B$2:$B$42,C32,ogsp!$C$2:$C$42)</f>
        <v>0</v>
      </c>
      <c r="E32" s="35">
        <f>+ICMA!E30</f>
        <v>230660.26</v>
      </c>
      <c r="F32" s="35">
        <f>+voya!C47</f>
        <v>0</v>
      </c>
      <c r="G32" s="36">
        <f t="shared" si="0"/>
        <v>230660.26</v>
      </c>
      <c r="H32" s="47"/>
      <c r="I32" s="48"/>
      <c r="J32" s="48"/>
      <c r="K32" s="48"/>
    </row>
    <row r="33" spans="1:11" x14ac:dyDescent="0.25">
      <c r="A33" s="32" t="s">
        <v>279</v>
      </c>
      <c r="B33" s="33" t="s">
        <v>276</v>
      </c>
      <c r="C33" s="32" t="s">
        <v>231</v>
      </c>
      <c r="D33" s="35">
        <f>+SUMIF(ogsp!$B$2:$B$42,C33,ogsp!$C$2:$C$42)</f>
        <v>981053.86</v>
      </c>
      <c r="E33" s="35">
        <f>+ICMA!E36</f>
        <v>1950899.6400000001</v>
      </c>
      <c r="F33" s="35">
        <f>+voya!C56+voya!C57</f>
        <v>3148686.4899999998</v>
      </c>
      <c r="G33" s="36">
        <f t="shared" si="0"/>
        <v>6080639.9900000002</v>
      </c>
      <c r="H33" s="47"/>
      <c r="I33" s="48"/>
      <c r="J33" s="48"/>
      <c r="K33" s="48"/>
    </row>
    <row r="34" spans="1:11" x14ac:dyDescent="0.25">
      <c r="A34" s="3"/>
      <c r="B34" s="3"/>
      <c r="C34" s="3"/>
      <c r="D34" s="3"/>
      <c r="E34" s="3"/>
      <c r="F34" s="3"/>
      <c r="G34" s="37"/>
      <c r="H34" s="3"/>
      <c r="I34" s="3"/>
      <c r="J34" s="3"/>
      <c r="K34" s="3"/>
    </row>
    <row r="35" spans="1:11" x14ac:dyDescent="0.25">
      <c r="A35" s="3"/>
      <c r="B35" s="3"/>
      <c r="C35" s="38" t="s">
        <v>237</v>
      </c>
      <c r="D35" s="39">
        <f>SUM(D5:D33)</f>
        <v>19730452.529999997</v>
      </c>
      <c r="E35" s="39">
        <f>SUM(E5:E34)</f>
        <v>8998882.7899999991</v>
      </c>
      <c r="F35" s="39">
        <f>SUM(F5:F33)</f>
        <v>14965682.109999998</v>
      </c>
      <c r="G35" s="39">
        <f>SUM(G5:G33)</f>
        <v>43695017.43</v>
      </c>
      <c r="H35" s="3"/>
      <c r="I35" s="3"/>
      <c r="J35" s="3"/>
      <c r="K35" s="3"/>
    </row>
    <row r="36" spans="1:11" x14ac:dyDescent="0.25">
      <c r="E36" s="4"/>
      <c r="F36" s="4"/>
      <c r="G36" s="50"/>
    </row>
    <row r="37" spans="1:11" x14ac:dyDescent="0.25">
      <c r="D37" s="87"/>
      <c r="F37" s="4"/>
    </row>
  </sheetData>
  <mergeCells count="4">
    <mergeCell ref="A1:K1"/>
    <mergeCell ref="A2:K2"/>
    <mergeCell ref="A3:G3"/>
    <mergeCell ref="I3:K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workbookViewId="0">
      <selection activeCell="C4" sqref="C4"/>
    </sheetView>
  </sheetViews>
  <sheetFormatPr defaultRowHeight="15" x14ac:dyDescent="0.25"/>
  <cols>
    <col min="1" max="1" width="44.85546875" bestFit="1" customWidth="1"/>
    <col min="2" max="4" width="15.7109375" customWidth="1"/>
    <col min="5" max="5" width="15.7109375" style="8" customWidth="1"/>
    <col min="6" max="6" width="8.7109375" customWidth="1"/>
    <col min="7" max="7" width="10.7109375" bestFit="1" customWidth="1"/>
    <col min="11" max="11" width="9.85546875" bestFit="1" customWidth="1"/>
  </cols>
  <sheetData>
    <row r="1" spans="1:11" ht="18.75" x14ac:dyDescent="0.3">
      <c r="A1" s="64" t="s">
        <v>16</v>
      </c>
      <c r="B1" s="65"/>
      <c r="C1" s="65"/>
      <c r="D1" s="65"/>
      <c r="E1" s="66"/>
    </row>
    <row r="2" spans="1:11" ht="15.75" x14ac:dyDescent="0.25">
      <c r="A2" s="61" t="s">
        <v>1</v>
      </c>
      <c r="B2" s="62"/>
      <c r="C2" s="62"/>
      <c r="D2" s="62"/>
      <c r="E2" s="63"/>
    </row>
    <row r="3" spans="1:11" ht="15.75" x14ac:dyDescent="0.25">
      <c r="A3" s="67">
        <v>2021</v>
      </c>
      <c r="B3" s="68"/>
      <c r="C3" s="68"/>
      <c r="D3" s="68"/>
      <c r="E3" s="69"/>
    </row>
    <row r="4" spans="1:11" ht="30" x14ac:dyDescent="0.25">
      <c r="A4" s="3"/>
      <c r="B4" s="15" t="s">
        <v>327</v>
      </c>
      <c r="C4" s="15" t="s">
        <v>6</v>
      </c>
      <c r="D4" s="15" t="s">
        <v>12</v>
      </c>
      <c r="E4" s="6" t="s">
        <v>7</v>
      </c>
      <c r="G4" s="4"/>
    </row>
    <row r="5" spans="1:11" s="4" customFormat="1" x14ac:dyDescent="0.25">
      <c r="A5" s="9" t="s">
        <v>2</v>
      </c>
      <c r="B5" s="14">
        <f>+ICMA!E46</f>
        <v>8998882.7899999972</v>
      </c>
      <c r="C5" s="14">
        <f>+voya!C69</f>
        <v>14965682.110000001</v>
      </c>
      <c r="D5" s="14">
        <f>+ogsp!C43</f>
        <v>19730452.530000001</v>
      </c>
      <c r="E5" s="6">
        <f>+D5+C5+B5</f>
        <v>43695017.43</v>
      </c>
    </row>
    <row r="6" spans="1:11" s="4" customFormat="1" x14ac:dyDescent="0.25">
      <c r="A6" s="9" t="s">
        <v>330</v>
      </c>
      <c r="B6" s="21">
        <v>39</v>
      </c>
      <c r="C6" s="21">
        <v>157</v>
      </c>
      <c r="D6" s="29">
        <v>185</v>
      </c>
      <c r="E6" s="22">
        <f>+D6+C6+B6</f>
        <v>381</v>
      </c>
    </row>
    <row r="7" spans="1:11" x14ac:dyDescent="0.25">
      <c r="A7" s="3" t="s">
        <v>3</v>
      </c>
      <c r="B7" s="12">
        <v>39</v>
      </c>
      <c r="C7" s="12">
        <v>130</v>
      </c>
      <c r="D7" s="12">
        <v>158</v>
      </c>
      <c r="E7" s="28">
        <f>+D7+C7+B7</f>
        <v>327</v>
      </c>
    </row>
    <row r="8" spans="1:11" x14ac:dyDescent="0.25">
      <c r="A8" s="3" t="s">
        <v>4</v>
      </c>
      <c r="B8" s="12">
        <v>21</v>
      </c>
      <c r="C8" s="12">
        <v>27</v>
      </c>
      <c r="D8" s="12">
        <v>28</v>
      </c>
      <c r="E8" s="28">
        <f>+D8+C8+B8</f>
        <v>76</v>
      </c>
    </row>
    <row r="9" spans="1:11" s="4" customFormat="1" ht="30" x14ac:dyDescent="0.25">
      <c r="A9" s="51" t="s">
        <v>328</v>
      </c>
      <c r="B9" s="14">
        <v>181609</v>
      </c>
      <c r="C9" s="88">
        <v>1506771.94</v>
      </c>
      <c r="D9" s="14">
        <v>1350390.16</v>
      </c>
      <c r="E9" s="6">
        <f>+D9+C9+B9</f>
        <v>3038771.0999999996</v>
      </c>
      <c r="G9" s="89" t="s">
        <v>334</v>
      </c>
    </row>
    <row r="10" spans="1:11" s="4" customFormat="1" ht="30" x14ac:dyDescent="0.25">
      <c r="A10" s="51" t="s">
        <v>329</v>
      </c>
      <c r="B10" s="14">
        <v>151547</v>
      </c>
      <c r="C10" s="88">
        <v>1102755.7</v>
      </c>
      <c r="D10" s="14">
        <f>228016.43+127014.76</f>
        <v>355031.19</v>
      </c>
      <c r="E10" s="7">
        <f>+C10+D10+B10</f>
        <v>1609333.89</v>
      </c>
      <c r="G10" s="90" t="s">
        <v>334</v>
      </c>
    </row>
    <row r="11" spans="1:11" s="4" customFormat="1" x14ac:dyDescent="0.25">
      <c r="A11" s="9" t="s">
        <v>5</v>
      </c>
      <c r="B11" s="14">
        <v>0</v>
      </c>
      <c r="C11" s="14">
        <v>0</v>
      </c>
      <c r="D11" s="13">
        <f>+ogsp!C41</f>
        <v>63431.29</v>
      </c>
      <c r="E11" s="6">
        <f>+D11+C11+B11</f>
        <v>63431.29</v>
      </c>
    </row>
    <row r="12" spans="1:11" s="4" customFormat="1" x14ac:dyDescent="0.25">
      <c r="A12" s="9" t="s">
        <v>8</v>
      </c>
      <c r="B12" s="14" t="s">
        <v>111</v>
      </c>
      <c r="C12" s="11" t="s">
        <v>111</v>
      </c>
      <c r="D12" s="11" t="s">
        <v>111</v>
      </c>
      <c r="E12" s="6"/>
    </row>
    <row r="13" spans="1:11" s="4" customFormat="1" ht="90" x14ac:dyDescent="0.25">
      <c r="A13" s="9" t="s">
        <v>113</v>
      </c>
      <c r="B13" s="14" t="s">
        <v>114</v>
      </c>
      <c r="C13" s="13" t="s">
        <v>178</v>
      </c>
      <c r="D13" s="14" t="s">
        <v>325</v>
      </c>
      <c r="E13" s="6"/>
    </row>
    <row r="14" spans="1:11" x14ac:dyDescent="0.25">
      <c r="K14" s="5"/>
    </row>
    <row r="15" spans="1:11" ht="18.75" x14ac:dyDescent="0.3">
      <c r="A15" s="64" t="str">
        <f>+A1</f>
        <v>City of Springfield 457 Deferred Compensation Plan</v>
      </c>
      <c r="B15" s="65"/>
      <c r="C15" s="65"/>
      <c r="D15" s="65"/>
      <c r="E15" s="66"/>
      <c r="K15" s="5"/>
    </row>
    <row r="16" spans="1:11" ht="15.75" x14ac:dyDescent="0.25">
      <c r="A16" s="61" t="s">
        <v>1</v>
      </c>
      <c r="B16" s="62"/>
      <c r="C16" s="62"/>
      <c r="D16" s="62"/>
      <c r="E16" s="63"/>
      <c r="K16" s="5"/>
    </row>
    <row r="17" spans="1:11" ht="15.75" x14ac:dyDescent="0.25">
      <c r="A17" s="67">
        <f>+A3-1</f>
        <v>2020</v>
      </c>
      <c r="B17" s="68"/>
      <c r="C17" s="68"/>
      <c r="D17" s="68"/>
      <c r="E17" s="69"/>
      <c r="K17" s="5"/>
    </row>
    <row r="18" spans="1:11" ht="30" x14ac:dyDescent="0.25">
      <c r="A18" s="3"/>
      <c r="B18" s="15" t="s">
        <v>11</v>
      </c>
      <c r="C18" s="15" t="s">
        <v>6</v>
      </c>
      <c r="D18" s="15" t="s">
        <v>12</v>
      </c>
      <c r="E18" s="6" t="s">
        <v>7</v>
      </c>
      <c r="K18" s="5"/>
    </row>
    <row r="19" spans="1:11" x14ac:dyDescent="0.25">
      <c r="A19" s="9" t="s">
        <v>2</v>
      </c>
      <c r="B19" s="11">
        <v>8249456.8099999996</v>
      </c>
      <c r="C19" s="11">
        <v>12653245</v>
      </c>
      <c r="D19" s="14">
        <v>15961024.02</v>
      </c>
      <c r="E19" s="6">
        <f>+D19+C19+B19</f>
        <v>36863725.829999998</v>
      </c>
      <c r="K19" s="5"/>
    </row>
    <row r="20" spans="1:11" x14ac:dyDescent="0.25">
      <c r="A20" s="9" t="s">
        <v>108</v>
      </c>
      <c r="B20" s="21">
        <v>38</v>
      </c>
      <c r="C20" s="21">
        <v>155</v>
      </c>
      <c r="D20" s="21">
        <v>182</v>
      </c>
      <c r="E20" s="22">
        <f>+D20+C20+B20</f>
        <v>375</v>
      </c>
      <c r="K20" s="5"/>
    </row>
    <row r="21" spans="1:11" x14ac:dyDescent="0.25">
      <c r="A21" s="3" t="s">
        <v>3</v>
      </c>
      <c r="B21" s="10">
        <v>33</v>
      </c>
      <c r="C21" s="12">
        <v>89</v>
      </c>
      <c r="D21" s="12">
        <v>147</v>
      </c>
      <c r="E21" s="28">
        <f>+D21+C21+B21</f>
        <v>269</v>
      </c>
      <c r="K21" s="5"/>
    </row>
    <row r="22" spans="1:11" x14ac:dyDescent="0.25">
      <c r="A22" s="3" t="s">
        <v>4</v>
      </c>
      <c r="B22" s="10">
        <v>28</v>
      </c>
      <c r="C22" s="12">
        <v>23</v>
      </c>
      <c r="D22" s="12">
        <v>26</v>
      </c>
      <c r="E22" s="28">
        <f>+D22+C22+B22</f>
        <v>77</v>
      </c>
      <c r="K22" s="5"/>
    </row>
    <row r="23" spans="1:11" x14ac:dyDescent="0.25">
      <c r="A23" s="9" t="s">
        <v>109</v>
      </c>
      <c r="B23" s="14">
        <v>375079</v>
      </c>
      <c r="C23" s="11">
        <v>617298</v>
      </c>
      <c r="D23" s="14">
        <v>1289566.3700000001</v>
      </c>
      <c r="E23" s="6">
        <f>+D23+C23+B23</f>
        <v>2281943.37</v>
      </c>
    </row>
    <row r="24" spans="1:11" x14ac:dyDescent="0.25">
      <c r="A24" s="9" t="s">
        <v>110</v>
      </c>
      <c r="B24" s="14">
        <v>489046</v>
      </c>
      <c r="C24" s="14">
        <v>472936</v>
      </c>
      <c r="D24" s="14">
        <f>339552.72+4576.27</f>
        <v>344128.99</v>
      </c>
      <c r="E24" s="7">
        <f>+C24+D24+B24</f>
        <v>1306110.99</v>
      </c>
    </row>
    <row r="25" spans="1:11" x14ac:dyDescent="0.25">
      <c r="A25" s="9" t="s">
        <v>5</v>
      </c>
      <c r="B25" s="14">
        <v>0</v>
      </c>
      <c r="C25" s="14">
        <v>0</v>
      </c>
      <c r="D25" s="13">
        <f>53455.15+19796.72</f>
        <v>73251.87</v>
      </c>
      <c r="E25" s="6">
        <f>+D25+C25+B25</f>
        <v>73251.87</v>
      </c>
    </row>
    <row r="27" spans="1:11" ht="18.75" x14ac:dyDescent="0.3">
      <c r="A27" s="64" t="str">
        <f>+A1</f>
        <v>City of Springfield 457 Deferred Compensation Plan</v>
      </c>
      <c r="B27" s="65"/>
      <c r="C27" s="65"/>
      <c r="D27" s="65"/>
      <c r="E27" s="66"/>
    </row>
    <row r="28" spans="1:11" ht="15.75" x14ac:dyDescent="0.25">
      <c r="A28" s="61" t="s">
        <v>1</v>
      </c>
      <c r="B28" s="62"/>
      <c r="C28" s="62"/>
      <c r="D28" s="62"/>
      <c r="E28" s="63"/>
    </row>
    <row r="29" spans="1:11" ht="15.75" x14ac:dyDescent="0.25">
      <c r="A29" s="67">
        <f>+A17-1</f>
        <v>2019</v>
      </c>
      <c r="B29" s="68"/>
      <c r="C29" s="68"/>
      <c r="D29" s="68"/>
      <c r="E29" s="69"/>
    </row>
    <row r="30" spans="1:11" ht="30" x14ac:dyDescent="0.25">
      <c r="A30" s="3"/>
      <c r="B30" s="15" t="s">
        <v>11</v>
      </c>
      <c r="C30" s="15" t="s">
        <v>6</v>
      </c>
      <c r="D30" s="15" t="s">
        <v>12</v>
      </c>
      <c r="E30" s="6" t="s">
        <v>7</v>
      </c>
    </row>
    <row r="31" spans="1:11" x14ac:dyDescent="0.25">
      <c r="A31" s="9" t="s">
        <v>2</v>
      </c>
      <c r="B31" s="11">
        <v>7426406</v>
      </c>
      <c r="C31" s="11">
        <v>9934651</v>
      </c>
      <c r="D31" s="14">
        <v>12730157.67</v>
      </c>
      <c r="E31" s="6">
        <f>+D31+C31+B31</f>
        <v>30091214.670000002</v>
      </c>
    </row>
    <row r="32" spans="1:11" x14ac:dyDescent="0.25">
      <c r="A32" s="9" t="s">
        <v>108</v>
      </c>
      <c r="B32" s="21">
        <v>60</v>
      </c>
      <c r="C32" s="21">
        <v>144</v>
      </c>
      <c r="D32" s="21">
        <v>176</v>
      </c>
      <c r="E32" s="22">
        <f>+D32+C32+B32</f>
        <v>380</v>
      </c>
    </row>
    <row r="33" spans="1:5" x14ac:dyDescent="0.25">
      <c r="A33" s="3" t="s">
        <v>3</v>
      </c>
      <c r="B33" s="10">
        <v>38</v>
      </c>
      <c r="C33" s="12">
        <v>80</v>
      </c>
      <c r="D33" s="12">
        <v>133</v>
      </c>
      <c r="E33" s="28">
        <f>+D33+C33+B33</f>
        <v>251</v>
      </c>
    </row>
    <row r="34" spans="1:5" x14ac:dyDescent="0.25">
      <c r="A34" s="3" t="s">
        <v>4</v>
      </c>
      <c r="B34" s="10">
        <v>9</v>
      </c>
      <c r="C34" s="12">
        <v>23</v>
      </c>
      <c r="D34" s="12">
        <v>26</v>
      </c>
      <c r="E34" s="28">
        <f>+D34+C34+B34</f>
        <v>58</v>
      </c>
    </row>
    <row r="35" spans="1:5" x14ac:dyDescent="0.25">
      <c r="A35" s="9" t="s">
        <v>9</v>
      </c>
      <c r="B35" s="14">
        <v>356130</v>
      </c>
      <c r="C35" s="11">
        <v>459257</v>
      </c>
      <c r="D35" s="14">
        <v>933760.66</v>
      </c>
      <c r="E35" s="6">
        <f>+D35+C35+B35</f>
        <v>1749147.6600000001</v>
      </c>
    </row>
    <row r="36" spans="1:5" x14ac:dyDescent="0.25">
      <c r="A36" s="9" t="s">
        <v>10</v>
      </c>
      <c r="B36" s="14">
        <v>168568</v>
      </c>
      <c r="C36" s="14">
        <v>472154</v>
      </c>
      <c r="D36" s="14">
        <f>235768.66+129085.73</f>
        <v>364854.39</v>
      </c>
      <c r="E36" s="7">
        <f>+C36+D36+B36</f>
        <v>1005576.39</v>
      </c>
    </row>
    <row r="37" spans="1:5" x14ac:dyDescent="0.25">
      <c r="A37" s="9" t="s">
        <v>5</v>
      </c>
      <c r="B37" s="14">
        <v>0</v>
      </c>
      <c r="C37" s="14">
        <v>0</v>
      </c>
      <c r="D37" s="13">
        <f>54646.41+19796.72</f>
        <v>74443.13</v>
      </c>
      <c r="E37" s="6">
        <f>+D37+C37+B37</f>
        <v>74443.13</v>
      </c>
    </row>
  </sheetData>
  <mergeCells count="9">
    <mergeCell ref="A2:E2"/>
    <mergeCell ref="A1:E1"/>
    <mergeCell ref="A3:E3"/>
    <mergeCell ref="A15:E15"/>
    <mergeCell ref="A29:E29"/>
    <mergeCell ref="A16:E16"/>
    <mergeCell ref="A17:E17"/>
    <mergeCell ref="A27:E27"/>
    <mergeCell ref="A28:E28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E1567-53E4-4509-9FCD-D3FEB26925B1}">
  <dimension ref="A1:E80"/>
  <sheetViews>
    <sheetView topLeftCell="A4" workbookViewId="0">
      <selection activeCell="E45" sqref="E45"/>
    </sheetView>
  </sheetViews>
  <sheetFormatPr defaultRowHeight="15" x14ac:dyDescent="0.25"/>
  <cols>
    <col min="1" max="1" width="27.7109375" bestFit="1" customWidth="1"/>
    <col min="2" max="2" width="27.7109375" customWidth="1"/>
    <col min="3" max="3" width="14.28515625" style="27" bestFit="1" customWidth="1"/>
    <col min="4" max="5" width="15.28515625" style="27" bestFit="1" customWidth="1"/>
  </cols>
  <sheetData>
    <row r="1" spans="1:5" x14ac:dyDescent="0.25">
      <c r="A1" t="s">
        <v>270</v>
      </c>
      <c r="C1" s="27" t="s">
        <v>11</v>
      </c>
      <c r="D1" s="27" t="s">
        <v>271</v>
      </c>
      <c r="E1" s="27" t="s">
        <v>272</v>
      </c>
    </row>
    <row r="2" spans="1:5" x14ac:dyDescent="0.25">
      <c r="A2" t="s">
        <v>262</v>
      </c>
      <c r="B2" t="s">
        <v>259</v>
      </c>
      <c r="C2" s="27">
        <f>+SUMIF(ICMA!$D:$D,Sheet5!$A2,ICMA!$E:$E)</f>
        <v>0</v>
      </c>
      <c r="D2" s="27">
        <f>+SUMIF(ogsp!$B:$B,Sheet5!$A2,ogsp!$C:$C)</f>
        <v>0</v>
      </c>
      <c r="E2" s="27">
        <f>+SUMIF(voya!$B:$B,Sheet5!$A2,voya!$C:$C)</f>
        <v>389234.7</v>
      </c>
    </row>
    <row r="3" spans="1:5" x14ac:dyDescent="0.25">
      <c r="A3" t="s">
        <v>259</v>
      </c>
      <c r="B3" t="s">
        <v>259</v>
      </c>
      <c r="C3" s="27">
        <f>+SUMIF(ICMA!$D:$D,Sheet5!$A3,ICMA!$E:$E)</f>
        <v>12101.32</v>
      </c>
      <c r="D3" s="27">
        <f>+SUMIF(ogsp!$B:$B,Sheet5!$A3,ogsp!$C:$C)</f>
        <v>0</v>
      </c>
      <c r="E3" s="27">
        <f>+SUMIF(voya!$B:$B,Sheet5!$A3,voya!$C:$C)</f>
        <v>0</v>
      </c>
    </row>
    <row r="4" spans="1:5" x14ac:dyDescent="0.25">
      <c r="A4" t="s">
        <v>218</v>
      </c>
      <c r="B4" t="s">
        <v>218</v>
      </c>
      <c r="C4" s="27">
        <f>+SUMIF(ICMA!$D:$D,Sheet5!$A4,ICMA!$E:$E)</f>
        <v>49599.840000000004</v>
      </c>
      <c r="D4" s="27">
        <f>+SUMIF(ogsp!$B:$B,Sheet5!$A4,ogsp!$C:$C)</f>
        <v>0</v>
      </c>
      <c r="E4" s="27">
        <f>+SUMIF(voya!$B:$B,Sheet5!$A4,voya!$C:$C)</f>
        <v>15681.34</v>
      </c>
    </row>
    <row r="5" spans="1:5" x14ac:dyDescent="0.25">
      <c r="A5" t="s">
        <v>216</v>
      </c>
      <c r="B5" t="s">
        <v>218</v>
      </c>
      <c r="C5" s="27">
        <f>+SUMIF(ICMA!$D:$D,Sheet5!$A5,ICMA!$E:$E)</f>
        <v>111821.44</v>
      </c>
      <c r="D5" s="27">
        <f>+SUMIF(ogsp!$B:$B,Sheet5!$A5,ogsp!$C:$C)</f>
        <v>0</v>
      </c>
      <c r="E5" s="27">
        <f>+SUMIF(voya!$B:$B,Sheet5!$A5,voya!$C:$C)</f>
        <v>98830.9</v>
      </c>
    </row>
    <row r="6" spans="1:5" x14ac:dyDescent="0.25">
      <c r="A6" t="s">
        <v>239</v>
      </c>
      <c r="B6" t="s">
        <v>239</v>
      </c>
      <c r="C6" s="27">
        <f>+SUMIF(ICMA!$D:$D,Sheet5!$A6,ICMA!$E:$E)</f>
        <v>105253.27</v>
      </c>
      <c r="D6" s="27">
        <f>+SUMIF(ogsp!$B:$B,Sheet5!$A6,ogsp!$C:$C)</f>
        <v>1077722.81</v>
      </c>
      <c r="E6" s="27">
        <f>+SUMIF(voya!$B:$B,Sheet5!$A6,voya!$C:$C)</f>
        <v>35848.6</v>
      </c>
    </row>
    <row r="7" spans="1:5" x14ac:dyDescent="0.25">
      <c r="A7" t="s">
        <v>246</v>
      </c>
      <c r="B7" t="s">
        <v>231</v>
      </c>
      <c r="C7" s="27">
        <f>+SUMIF(ICMA!$D:$D,Sheet5!$A7,ICMA!$E:$E)</f>
        <v>463599.51</v>
      </c>
      <c r="D7" s="27">
        <f>+SUMIF(ogsp!$B:$B,Sheet5!$A7,ogsp!$C:$C)</f>
        <v>0</v>
      </c>
      <c r="E7" s="27">
        <f>+SUMIF(voya!$B:$B,Sheet5!$A7,voya!$C:$C)</f>
        <v>0</v>
      </c>
    </row>
    <row r="8" spans="1:5" x14ac:dyDescent="0.25">
      <c r="A8" t="s">
        <v>229</v>
      </c>
      <c r="B8" t="s">
        <v>243</v>
      </c>
      <c r="C8" s="27">
        <f>+SUMIF(ICMA!$D:$D,Sheet5!$A8,ICMA!$E:$E)</f>
        <v>22586.720000000001</v>
      </c>
      <c r="D8" s="27">
        <f>+SUMIF(ogsp!$B:$B,Sheet5!$A8,ogsp!$C:$C)</f>
        <v>0</v>
      </c>
      <c r="E8" s="27">
        <f>+SUMIF(voya!$B:$B,Sheet5!$A8,voya!$C:$C)</f>
        <v>78399.320000000007</v>
      </c>
    </row>
    <row r="9" spans="1:5" x14ac:dyDescent="0.25">
      <c r="A9" t="s">
        <v>238</v>
      </c>
      <c r="B9" t="s">
        <v>243</v>
      </c>
      <c r="C9" s="27">
        <f>+SUMIF(ICMA!$D:$D,Sheet5!$A9,ICMA!$E:$E)</f>
        <v>184856.88999999998</v>
      </c>
      <c r="D9" s="27">
        <f>+SUMIF(ogsp!$B:$B,Sheet5!$A9,ogsp!$C:$C)</f>
        <v>0</v>
      </c>
      <c r="E9" s="27">
        <f>+SUMIF(voya!$B:$B,Sheet5!$A9,voya!$C:$C)</f>
        <v>35191.47</v>
      </c>
    </row>
    <row r="10" spans="1:5" x14ac:dyDescent="0.25">
      <c r="A10" t="s">
        <v>257</v>
      </c>
      <c r="B10" t="s">
        <v>243</v>
      </c>
      <c r="C10" s="27">
        <f>+SUMIF(ICMA!$D:$D,Sheet5!$A10,ICMA!$E:$E)</f>
        <v>38023.25</v>
      </c>
      <c r="D10" s="27">
        <f>+SUMIF(ogsp!$B:$B,Sheet5!$A10,ogsp!$C:$C)</f>
        <v>0</v>
      </c>
      <c r="E10" s="27">
        <f>+SUMIF(voya!$B:$B,Sheet5!$A10,voya!$C:$C)</f>
        <v>0</v>
      </c>
    </row>
    <row r="11" spans="1:5" x14ac:dyDescent="0.25">
      <c r="A11" t="s">
        <v>258</v>
      </c>
      <c r="B11" t="str">
        <f>+A11</f>
        <v>Intermediate Core-Plus Bond</v>
      </c>
      <c r="C11" s="27">
        <f>+SUMIF(ICMA!$D:$D,Sheet5!$A11,ICMA!$E:$E)</f>
        <v>118455.22</v>
      </c>
      <c r="D11" s="27">
        <f>+SUMIF(ogsp!$B:$B,Sheet5!$A11,ogsp!$C:$C)</f>
        <v>0</v>
      </c>
      <c r="E11" s="27">
        <f>+SUMIF(voya!$B:$B,Sheet5!$A11,voya!$C:$C)</f>
        <v>361661.1</v>
      </c>
    </row>
    <row r="12" spans="1:5" x14ac:dyDescent="0.25">
      <c r="A12" t="s">
        <v>207</v>
      </c>
      <c r="B12" t="str">
        <f>+A12</f>
        <v>Large Blend</v>
      </c>
      <c r="C12" s="27">
        <f>+SUMIF(ICMA!$D:$D,Sheet5!$A12,ICMA!$E:$E)</f>
        <v>278525.27999999997</v>
      </c>
      <c r="D12" s="27">
        <f>+SUMIF(ogsp!$B:$B,Sheet5!$A12,ogsp!$C:$C)</f>
        <v>3326926.12</v>
      </c>
      <c r="E12" s="27">
        <f>+SUMIF(voya!$B:$B,Sheet5!$A12,voya!$C:$C)</f>
        <v>1057235.1300000001</v>
      </c>
    </row>
    <row r="13" spans="1:5" x14ac:dyDescent="0.25">
      <c r="A13" t="s">
        <v>209</v>
      </c>
      <c r="B13" t="str">
        <f t="shared" ref="B13:B20" si="0">+A13</f>
        <v>Large Growth</v>
      </c>
      <c r="C13" s="27">
        <f>+SUMIF(ICMA!$D:$D,Sheet5!$A13,ICMA!$E:$E)</f>
        <v>1534740.27</v>
      </c>
      <c r="D13" s="27">
        <f>+SUMIF(ogsp!$B:$B,Sheet5!$A13,ogsp!$C:$C)</f>
        <v>2864286.1700000004</v>
      </c>
      <c r="E13" s="27">
        <f>+SUMIF(voya!$B:$B,Sheet5!$A13,voya!$C:$C)</f>
        <v>3667229.0999999996</v>
      </c>
    </row>
    <row r="14" spans="1:5" x14ac:dyDescent="0.25">
      <c r="A14" t="s">
        <v>204</v>
      </c>
      <c r="B14" t="str">
        <f t="shared" si="0"/>
        <v>Large Value</v>
      </c>
      <c r="C14" s="27">
        <f>+SUMIF(ICMA!$D:$D,Sheet5!$A14,ICMA!$E:$E)</f>
        <v>442589.91000000003</v>
      </c>
      <c r="D14" s="27">
        <f>+SUMIF(ogsp!$B:$B,Sheet5!$A14,ogsp!$C:$C)</f>
        <v>1471499.8800000001</v>
      </c>
      <c r="E14" s="27">
        <f>+SUMIF(voya!$B:$B,Sheet5!$A14,voya!$C:$C)</f>
        <v>689503.79999999993</v>
      </c>
    </row>
    <row r="15" spans="1:5" x14ac:dyDescent="0.25">
      <c r="A15" t="s">
        <v>241</v>
      </c>
      <c r="B15" t="str">
        <f t="shared" si="0"/>
        <v>Loans</v>
      </c>
      <c r="C15" s="27">
        <f>+SUMIF(ICMA!$D:$D,Sheet5!$A15,ICMA!$E:$E)</f>
        <v>0</v>
      </c>
      <c r="D15" s="27">
        <f>+SUMIF(ogsp!$B:$B,Sheet5!$A15,ogsp!$C:$C)</f>
        <v>63431.29</v>
      </c>
      <c r="E15" s="27">
        <f>+SUMIF(voya!$B:$B,Sheet5!$A15,voya!$C:$C)</f>
        <v>0</v>
      </c>
    </row>
    <row r="16" spans="1:5" x14ac:dyDescent="0.25">
      <c r="A16" t="s">
        <v>210</v>
      </c>
      <c r="B16" t="str">
        <f t="shared" si="0"/>
        <v>Mid-Cap Blend</v>
      </c>
      <c r="C16" s="27">
        <f>+SUMIF(ICMA!$D:$D,Sheet5!$A16,ICMA!$E:$E)</f>
        <v>0</v>
      </c>
      <c r="D16" s="27">
        <f>+SUMIF(ogsp!$B:$B,Sheet5!$A16,ogsp!$C:$C)</f>
        <v>0</v>
      </c>
      <c r="E16" s="27">
        <f>+SUMIF(voya!$B:$B,Sheet5!$A16,voya!$C:$C)</f>
        <v>594276.48</v>
      </c>
    </row>
    <row r="17" spans="1:5" x14ac:dyDescent="0.25">
      <c r="A17" t="s">
        <v>266</v>
      </c>
      <c r="B17" t="str">
        <f t="shared" si="0"/>
        <v>Mid-Cap Growth</v>
      </c>
      <c r="C17" s="27">
        <f>+SUMIF(ICMA!$D:$D,Sheet5!$A17,ICMA!$E:$E)</f>
        <v>191425.37000000002</v>
      </c>
      <c r="D17" s="27">
        <f>+SUMIF(ogsp!$B:$B,Sheet5!$A17,ogsp!$C:$C)</f>
        <v>0</v>
      </c>
      <c r="E17" s="27">
        <f>+SUMIF(voya!$B:$B,Sheet5!$A17,voya!$C:$C)</f>
        <v>1305329.03</v>
      </c>
    </row>
    <row r="18" spans="1:5" x14ac:dyDescent="0.25">
      <c r="A18" t="s">
        <v>263</v>
      </c>
      <c r="B18" t="str">
        <f t="shared" si="0"/>
        <v>Mid-Cap Value</v>
      </c>
      <c r="C18" s="27">
        <f>+SUMIF(ICMA!$D:$D,Sheet5!$A18,ICMA!$E:$E)</f>
        <v>403670.29000000004</v>
      </c>
      <c r="D18" s="27">
        <f>+SUMIF(ogsp!$B:$B,Sheet5!$A18,ogsp!$C:$C)</f>
        <v>0</v>
      </c>
      <c r="E18" s="27">
        <f>+SUMIF(voya!$B:$B,Sheet5!$A18,voya!$C:$C)</f>
        <v>348023.6</v>
      </c>
    </row>
    <row r="19" spans="1:5" x14ac:dyDescent="0.25">
      <c r="A19" t="s">
        <v>230</v>
      </c>
      <c r="B19" t="str">
        <f t="shared" si="0"/>
        <v>Money Market</v>
      </c>
      <c r="C19" s="27">
        <f>+SUMIF(ICMA!$D:$D,Sheet5!$A19,ICMA!$E:$E)</f>
        <v>230660.26</v>
      </c>
      <c r="D19" s="27">
        <f>+SUMIF(ogsp!$B:$B,Sheet5!$A19,ogsp!$C:$C)</f>
        <v>0</v>
      </c>
      <c r="E19" s="27">
        <f>+SUMIF(voya!$B:$B,Sheet5!$A19,voya!$C:$C)</f>
        <v>0</v>
      </c>
    </row>
    <row r="20" spans="1:5" x14ac:dyDescent="0.25">
      <c r="A20" t="s">
        <v>243</v>
      </c>
      <c r="B20" t="str">
        <f t="shared" si="0"/>
        <v>Multisector Bond</v>
      </c>
      <c r="C20" s="27">
        <f>+SUMIF(ICMA!$D:$D,Sheet5!$A20,ICMA!$E:$E)</f>
        <v>0</v>
      </c>
      <c r="D20" s="27">
        <f>+SUMIF(ogsp!$B:$B,Sheet5!$A20,ogsp!$C:$C)</f>
        <v>1315643.4099999999</v>
      </c>
      <c r="E20" s="27">
        <f>+SUMIF(voya!$B:$B,Sheet5!$A20,voya!$C:$C)</f>
        <v>0</v>
      </c>
    </row>
    <row r="21" spans="1:5" x14ac:dyDescent="0.25">
      <c r="A21" t="s">
        <v>264</v>
      </c>
      <c r="B21" t="s">
        <v>243</v>
      </c>
      <c r="C21" s="27">
        <f>+SUMIF(ICMA!$D:$D,Sheet5!$A21,ICMA!$E:$E)</f>
        <v>0</v>
      </c>
      <c r="D21" s="27">
        <f>+SUMIF(ogsp!$B:$B,Sheet5!$A21,ogsp!$C:$C)</f>
        <v>0</v>
      </c>
      <c r="E21" s="27">
        <f>+SUMIF(voya!$B:$B,Sheet5!$A21,voya!$C:$C)</f>
        <v>203003.66</v>
      </c>
    </row>
    <row r="22" spans="1:5" x14ac:dyDescent="0.25">
      <c r="A22" t="s">
        <v>260</v>
      </c>
      <c r="B22" t="str">
        <f>+A22</f>
        <v>Real Estate</v>
      </c>
      <c r="C22" s="27">
        <f>+SUMIF(ICMA!$D:$D,Sheet5!$A22,ICMA!$E:$E)</f>
        <v>116971.23999999999</v>
      </c>
      <c r="D22" s="27">
        <f>+SUMIF(ogsp!$B:$B,Sheet5!$A22,ogsp!$C:$C)</f>
        <v>0</v>
      </c>
      <c r="E22" s="27">
        <f>+SUMIF(voya!$B:$B,Sheet5!$A22,voya!$C:$C)</f>
        <v>30886.74</v>
      </c>
    </row>
    <row r="23" spans="1:5" x14ac:dyDescent="0.25">
      <c r="A23" t="s">
        <v>240</v>
      </c>
      <c r="B23" t="str">
        <f>+A23</f>
        <v>SDBA</v>
      </c>
      <c r="C23" s="27">
        <f>+SUMIF(ICMA!$D:$D,Sheet5!$A23,ICMA!$E:$E)</f>
        <v>0</v>
      </c>
      <c r="D23" s="27">
        <f>+SUMIF(ogsp!$B:$B,Sheet5!$A23,ogsp!$C:$C)</f>
        <v>186801.43000000002</v>
      </c>
      <c r="E23" s="27">
        <f>+SUMIF(voya!$B:$B,Sheet5!$A23,voya!$C:$C)</f>
        <v>0</v>
      </c>
    </row>
    <row r="24" spans="1:5" x14ac:dyDescent="0.25">
      <c r="A24" t="s">
        <v>242</v>
      </c>
      <c r="B24" t="s">
        <v>231</v>
      </c>
      <c r="C24" s="27">
        <f>+SUMIF(ICMA!$D:$D,Sheet5!$A24,ICMA!$E:$E)</f>
        <v>0</v>
      </c>
      <c r="D24" s="27">
        <f>+SUMIF(ogsp!$B:$B,Sheet5!$A24,ogsp!$C:$C)</f>
        <v>0</v>
      </c>
      <c r="E24" s="27">
        <f>+SUMIF(voya!$B:$B,Sheet5!$A24,voya!$C:$C)</f>
        <v>0</v>
      </c>
    </row>
    <row r="25" spans="1:5" x14ac:dyDescent="0.25">
      <c r="A25" t="s">
        <v>213</v>
      </c>
      <c r="B25" t="str">
        <f>+A25</f>
        <v>Small Blend</v>
      </c>
      <c r="C25" s="27">
        <f>+SUMIF(ICMA!$D:$D,Sheet5!$A25,ICMA!$E:$E)</f>
        <v>83847.55</v>
      </c>
      <c r="D25" s="27">
        <f>+SUMIF(ogsp!$B:$B,Sheet5!$A25,ogsp!$C:$C)</f>
        <v>0</v>
      </c>
      <c r="E25" s="27">
        <f>+SUMIF(voya!$B:$B,Sheet5!$A25,voya!$C:$C)</f>
        <v>256736.68</v>
      </c>
    </row>
    <row r="26" spans="1:5" x14ac:dyDescent="0.25">
      <c r="A26" t="s">
        <v>215</v>
      </c>
      <c r="B26" t="str">
        <f t="shared" ref="B26:B39" si="1">+A26</f>
        <v>Small Growth</v>
      </c>
      <c r="C26" s="27">
        <f>+SUMIF(ICMA!$D:$D,Sheet5!$A26,ICMA!$E:$E)</f>
        <v>413692.31</v>
      </c>
      <c r="D26" s="27">
        <f>+SUMIF(ogsp!$B:$B,Sheet5!$A26,ogsp!$C:$C)</f>
        <v>0</v>
      </c>
      <c r="E26" s="27">
        <f>+SUMIF(voya!$B:$B,Sheet5!$A26,voya!$C:$C)</f>
        <v>225376.52000000002</v>
      </c>
    </row>
    <row r="27" spans="1:5" x14ac:dyDescent="0.25">
      <c r="A27" t="s">
        <v>212</v>
      </c>
      <c r="B27" t="str">
        <f t="shared" si="1"/>
        <v>Small Value</v>
      </c>
      <c r="C27" s="27">
        <f>+SUMIF(ICMA!$D:$D,Sheet5!$A27,ICMA!$E:$E)</f>
        <v>19723.510000000002</v>
      </c>
      <c r="D27" s="27">
        <f>+SUMIF(ogsp!$B:$B,Sheet5!$A27,ogsp!$C:$C)</f>
        <v>2222722.5</v>
      </c>
      <c r="E27" s="27">
        <f>+SUMIF(voya!$B:$B,Sheet5!$A27,voya!$C:$C)</f>
        <v>300082.11</v>
      </c>
    </row>
    <row r="28" spans="1:5" x14ac:dyDescent="0.25">
      <c r="A28" t="s">
        <v>231</v>
      </c>
      <c r="B28" t="str">
        <f t="shared" si="1"/>
        <v>Stable Value</v>
      </c>
      <c r="C28" s="27">
        <f>+SUMIF(ICMA!$D:$D,Sheet5!$A28,ICMA!$E:$E)</f>
        <v>1950899.6400000001</v>
      </c>
      <c r="D28" s="27">
        <f>+SUMIF(ogsp!$B:$B,Sheet5!$A28,ogsp!$C:$C)</f>
        <v>981053.86</v>
      </c>
      <c r="E28" s="27">
        <f>+SUMIF(voya!$B:$B,Sheet5!$A28,voya!$C:$C)</f>
        <v>3148686.4899999998</v>
      </c>
    </row>
    <row r="29" spans="1:5" x14ac:dyDescent="0.25">
      <c r="A29" t="s">
        <v>220</v>
      </c>
      <c r="B29" t="str">
        <f t="shared" si="1"/>
        <v>Target-Date 2020</v>
      </c>
      <c r="C29" s="27">
        <v>108240.3075</v>
      </c>
      <c r="D29" s="27">
        <f>+SUMIF(ogsp!$B:$B,Sheet5!$A29,ogsp!$C:$C)</f>
        <v>684618.57</v>
      </c>
      <c r="E29" s="27">
        <v>86935.165000000008</v>
      </c>
    </row>
    <row r="30" spans="1:5" x14ac:dyDescent="0.25">
      <c r="A30" t="s">
        <v>221</v>
      </c>
      <c r="B30" t="str">
        <f t="shared" si="1"/>
        <v>Target-Date 2025</v>
      </c>
      <c r="C30" s="27">
        <v>151331.26749999999</v>
      </c>
      <c r="D30" s="27">
        <f>+SUMIF(ogsp!$B:$B,Sheet5!$A30,ogsp!$C:$C)</f>
        <v>926543.39</v>
      </c>
      <c r="E30" s="27">
        <v>91683.665000000008</v>
      </c>
    </row>
    <row r="31" spans="1:5" x14ac:dyDescent="0.25">
      <c r="A31" t="s">
        <v>222</v>
      </c>
      <c r="B31" t="str">
        <f t="shared" si="1"/>
        <v>Target-Date 2030</v>
      </c>
      <c r="C31" s="27">
        <v>291784.15749999997</v>
      </c>
      <c r="D31" s="27">
        <f>+SUMIF(ogsp!$B:$B,Sheet5!$A31,ogsp!$C:$C)</f>
        <v>1436081.42</v>
      </c>
      <c r="E31" s="27">
        <v>86935.165000000008</v>
      </c>
    </row>
    <row r="32" spans="1:5" x14ac:dyDescent="0.25">
      <c r="A32" t="s">
        <v>223</v>
      </c>
      <c r="B32" t="str">
        <f t="shared" si="1"/>
        <v>Target-Date 2035</v>
      </c>
      <c r="C32" s="27">
        <v>590410.71750000003</v>
      </c>
      <c r="D32" s="27">
        <f>+SUMIF(ogsp!$B:$B,Sheet5!$A32,ogsp!$C:$C)</f>
        <v>886510.87</v>
      </c>
      <c r="E32" s="27">
        <v>112939.04500000001</v>
      </c>
    </row>
    <row r="33" spans="1:5" x14ac:dyDescent="0.25">
      <c r="A33" t="s">
        <v>224</v>
      </c>
      <c r="B33" t="str">
        <f t="shared" si="1"/>
        <v>Target-Date 2040</v>
      </c>
      <c r="C33" s="27">
        <v>312800.35749999998</v>
      </c>
      <c r="D33" s="27">
        <f>+SUMIF(ogsp!$B:$B,Sheet5!$A33,ogsp!$C:$C)</f>
        <v>968199.33000000007</v>
      </c>
      <c r="E33" s="27">
        <v>86935.165000000008</v>
      </c>
    </row>
    <row r="34" spans="1:5" x14ac:dyDescent="0.25">
      <c r="A34" t="s">
        <v>225</v>
      </c>
      <c r="B34" t="str">
        <f t="shared" si="1"/>
        <v>Target-Date 2045</v>
      </c>
      <c r="C34" s="27">
        <v>182001.85749999998</v>
      </c>
      <c r="D34" s="27">
        <f>+SUMIF(ogsp!$B:$B,Sheet5!$A34,ogsp!$C:$C)</f>
        <v>943424.58000000007</v>
      </c>
      <c r="E34" s="27">
        <v>168217.04500000001</v>
      </c>
    </row>
    <row r="35" spans="1:5" x14ac:dyDescent="0.25">
      <c r="A35" t="s">
        <v>226</v>
      </c>
      <c r="B35" t="str">
        <f t="shared" si="1"/>
        <v>Target-Date 2050</v>
      </c>
      <c r="C35" s="27">
        <v>123307.56749999999</v>
      </c>
      <c r="D35" s="27">
        <f>+SUMIF(ogsp!$B:$B,Sheet5!$A35,ogsp!$C:$C)</f>
        <v>123017.23</v>
      </c>
      <c r="E35" s="27">
        <v>86935.165000000008</v>
      </c>
    </row>
    <row r="36" spans="1:5" x14ac:dyDescent="0.25">
      <c r="A36" t="s">
        <v>227</v>
      </c>
      <c r="B36" t="str">
        <f t="shared" si="1"/>
        <v>Target-Date 2055</v>
      </c>
      <c r="C36" s="27">
        <v>113727.72749999999</v>
      </c>
      <c r="D36" s="27">
        <f>+SUMIF(ogsp!$B:$B,Sheet5!$A36,ogsp!$C:$C)</f>
        <v>245493.74</v>
      </c>
      <c r="E36" s="27">
        <v>105450.10500000001</v>
      </c>
    </row>
    <row r="37" spans="1:5" x14ac:dyDescent="0.25">
      <c r="A37" t="s">
        <v>268</v>
      </c>
      <c r="B37" t="str">
        <f t="shared" si="1"/>
        <v>Target-Date 2060</v>
      </c>
      <c r="C37" s="27">
        <f>+SUMIF(ICMA!$D:$D,Sheet5!$A37,ICMA!$E:$E)</f>
        <v>0</v>
      </c>
      <c r="D37" s="27">
        <f>+SUMIF(ogsp!$B:$B,Sheet5!$A37,ogsp!$C:$C)</f>
        <v>3476.05</v>
      </c>
      <c r="E37" s="27">
        <f>+SUMIF(voya!$B:$B,Sheet5!$A37,voya!$C:$C)</f>
        <v>4265.49</v>
      </c>
    </row>
    <row r="38" spans="1:5" x14ac:dyDescent="0.25">
      <c r="A38" t="s">
        <v>269</v>
      </c>
      <c r="B38" t="str">
        <f t="shared" si="1"/>
        <v>Target-Date 2065</v>
      </c>
      <c r="C38" s="27">
        <f>+SUMIF(ICMA!$D:$D,Sheet5!$A38,ICMA!$E:$E)</f>
        <v>0</v>
      </c>
      <c r="D38" s="27">
        <f>+SUMIF(ogsp!$B:$B,Sheet5!$A38,ogsp!$C:$C)</f>
        <v>2999.88</v>
      </c>
      <c r="E38" s="27">
        <f>+SUMIF(voya!$B:$B,Sheet5!$A38,voya!$C:$C)</f>
        <v>0</v>
      </c>
    </row>
    <row r="39" spans="1:5" x14ac:dyDescent="0.25">
      <c r="A39" t="s">
        <v>219</v>
      </c>
      <c r="B39" t="str">
        <f t="shared" si="1"/>
        <v>Target-Date Retirement</v>
      </c>
      <c r="C39" s="27">
        <f>+SUMIF(ICMA!$D:$D,Sheet5!$A39,ICMA!$E:$E)</f>
        <v>181532.14</v>
      </c>
      <c r="D39" s="27">
        <f>+SUMIF(ogsp!$B:$B,Sheet5!$A39,ogsp!$C:$C)</f>
        <v>0</v>
      </c>
      <c r="E39" s="27">
        <f>+SUMIF(voya!$B:$B,Sheet5!$A39,voya!$C:$C)</f>
        <v>61597.73</v>
      </c>
    </row>
    <row r="40" spans="1:5" x14ac:dyDescent="0.25">
      <c r="A40" t="s">
        <v>265</v>
      </c>
      <c r="B40" t="s">
        <v>243</v>
      </c>
      <c r="C40" s="27">
        <f>+SUMIF(ICMA!$D:$D,Sheet5!$A40,ICMA!$E:$E)</f>
        <v>0</v>
      </c>
      <c r="D40" s="27">
        <f>+SUMIF(ogsp!$B:$B,Sheet5!$A40,ogsp!$C:$C)</f>
        <v>0</v>
      </c>
      <c r="E40" s="27">
        <f>+SUMIF(voya!$B:$B,Sheet5!$A40,voya!$C:$C)</f>
        <v>25277.61</v>
      </c>
    </row>
    <row r="41" spans="1:5" x14ac:dyDescent="0.25">
      <c r="A41" t="s">
        <v>261</v>
      </c>
      <c r="B41" t="s">
        <v>218</v>
      </c>
      <c r="C41" s="27">
        <f>+SUMIF(ICMA!$D:$D,Sheet5!$A41,ICMA!$E:$E)</f>
        <v>0</v>
      </c>
      <c r="D41" s="27">
        <f>+SUMIF(ogsp!$B:$B,Sheet5!$A41,ogsp!$C:$C)</f>
        <v>0</v>
      </c>
      <c r="E41" s="27">
        <f>+SUMIF(voya!$B:$B,Sheet5!$A41,voya!$C:$C)</f>
        <v>282664.2</v>
      </c>
    </row>
    <row r="42" spans="1:5" x14ac:dyDescent="0.25">
      <c r="A42" t="s">
        <v>267</v>
      </c>
      <c r="B42" t="s">
        <v>218</v>
      </c>
      <c r="C42" s="27">
        <f>+SUMIF(ICMA!$D:$D,Sheet5!$A42,ICMA!$E:$E)</f>
        <v>0</v>
      </c>
      <c r="D42" s="27">
        <f>+SUMIF(ogsp!$B:$B,Sheet5!$A42,ogsp!$C:$C)</f>
        <v>0</v>
      </c>
      <c r="E42" s="27">
        <f>+SUMIF(voya!$B:$B,Sheet5!$A42,voya!$C:$C)</f>
        <v>877464.75</v>
      </c>
    </row>
    <row r="44" spans="1:5" x14ac:dyDescent="0.25">
      <c r="C44" s="27">
        <f>+SUM(C2:C42)</f>
        <v>8828179.1900000013</v>
      </c>
      <c r="D44" s="27">
        <f>+SUM(D2:D42)</f>
        <v>19730452.529999994</v>
      </c>
      <c r="E44" s="27">
        <f>+SUM(E2:E42)</f>
        <v>14918517.069999995</v>
      </c>
    </row>
    <row r="45" spans="1:5" x14ac:dyDescent="0.25">
      <c r="C45" s="27">
        <f>+C44-ICMA!E46</f>
        <v>-170703.5999999959</v>
      </c>
      <c r="D45" s="27">
        <f>+D44-ogsp!C43</f>
        <v>0</v>
      </c>
      <c r="E45" s="27">
        <f>+E44-voya!C69</f>
        <v>-47165.040000006557</v>
      </c>
    </row>
    <row r="48" spans="1:5" x14ac:dyDescent="0.25">
      <c r="A48" t="s">
        <v>204</v>
      </c>
      <c r="C48" s="27">
        <f>+SUMIF($B$2:$B$42,$A48,C$2:C$42)</f>
        <v>442589.91000000003</v>
      </c>
      <c r="D48" s="27">
        <f t="shared" ref="D48:E63" si="2">+SUMIF($B$2:$B$42,$A48,D$2:D$42)</f>
        <v>1471499.8800000001</v>
      </c>
      <c r="E48" s="27">
        <f t="shared" si="2"/>
        <v>689503.79999999993</v>
      </c>
    </row>
    <row r="49" spans="1:5" x14ac:dyDescent="0.25">
      <c r="A49" t="s">
        <v>207</v>
      </c>
      <c r="C49" s="27">
        <f t="shared" ref="C49:E77" si="3">+SUMIF($B$2:$B$42,$A49,C$2:C$42)</f>
        <v>278525.27999999997</v>
      </c>
      <c r="D49" s="27">
        <f t="shared" si="2"/>
        <v>3326926.12</v>
      </c>
      <c r="E49" s="27">
        <f t="shared" si="2"/>
        <v>1057235.1300000001</v>
      </c>
    </row>
    <row r="50" spans="1:5" x14ac:dyDescent="0.25">
      <c r="A50" t="s">
        <v>209</v>
      </c>
      <c r="C50" s="27">
        <f t="shared" si="3"/>
        <v>1534740.27</v>
      </c>
      <c r="D50" s="27">
        <f t="shared" si="2"/>
        <v>2864286.1700000004</v>
      </c>
      <c r="E50" s="27">
        <f t="shared" si="2"/>
        <v>3667229.0999999996</v>
      </c>
    </row>
    <row r="51" spans="1:5" x14ac:dyDescent="0.25">
      <c r="A51" t="s">
        <v>263</v>
      </c>
      <c r="C51" s="27">
        <f t="shared" si="3"/>
        <v>403670.29000000004</v>
      </c>
      <c r="D51" s="27">
        <f t="shared" si="2"/>
        <v>0</v>
      </c>
      <c r="E51" s="27">
        <f t="shared" si="2"/>
        <v>348023.6</v>
      </c>
    </row>
    <row r="52" spans="1:5" x14ac:dyDescent="0.25">
      <c r="A52" t="s">
        <v>210</v>
      </c>
      <c r="C52" s="27">
        <f t="shared" si="3"/>
        <v>0</v>
      </c>
      <c r="D52" s="27">
        <f t="shared" si="2"/>
        <v>0</v>
      </c>
      <c r="E52" s="27">
        <f t="shared" si="2"/>
        <v>594276.48</v>
      </c>
    </row>
    <row r="53" spans="1:5" x14ac:dyDescent="0.25">
      <c r="A53" t="s">
        <v>266</v>
      </c>
      <c r="C53" s="27">
        <f t="shared" si="3"/>
        <v>191425.37000000002</v>
      </c>
      <c r="D53" s="27">
        <f t="shared" si="2"/>
        <v>0</v>
      </c>
      <c r="E53" s="27">
        <f t="shared" si="2"/>
        <v>1305329.03</v>
      </c>
    </row>
    <row r="54" spans="1:5" x14ac:dyDescent="0.25">
      <c r="A54" t="s">
        <v>212</v>
      </c>
      <c r="C54" s="27">
        <f t="shared" si="3"/>
        <v>19723.510000000002</v>
      </c>
      <c r="D54" s="27">
        <f t="shared" si="2"/>
        <v>2222722.5</v>
      </c>
      <c r="E54" s="27">
        <f t="shared" si="2"/>
        <v>300082.11</v>
      </c>
    </row>
    <row r="55" spans="1:5" x14ac:dyDescent="0.25">
      <c r="A55" t="s">
        <v>213</v>
      </c>
      <c r="C55" s="27">
        <f t="shared" si="3"/>
        <v>83847.55</v>
      </c>
      <c r="D55" s="27">
        <f t="shared" si="2"/>
        <v>0</v>
      </c>
      <c r="E55" s="27">
        <f t="shared" si="2"/>
        <v>256736.68</v>
      </c>
    </row>
    <row r="56" spans="1:5" x14ac:dyDescent="0.25">
      <c r="A56" t="s">
        <v>215</v>
      </c>
      <c r="C56" s="27">
        <f t="shared" si="3"/>
        <v>413692.31</v>
      </c>
      <c r="D56" s="27">
        <f t="shared" si="2"/>
        <v>0</v>
      </c>
      <c r="E56" s="27">
        <f t="shared" si="2"/>
        <v>225376.52000000002</v>
      </c>
    </row>
    <row r="57" spans="1:5" x14ac:dyDescent="0.25">
      <c r="A57" t="s">
        <v>239</v>
      </c>
      <c r="C57" s="27">
        <f t="shared" si="3"/>
        <v>105253.27</v>
      </c>
      <c r="D57" s="27">
        <f t="shared" si="2"/>
        <v>1077722.81</v>
      </c>
      <c r="E57" s="27">
        <f t="shared" si="2"/>
        <v>35848.6</v>
      </c>
    </row>
    <row r="58" spans="1:5" x14ac:dyDescent="0.25">
      <c r="A58" t="s">
        <v>218</v>
      </c>
      <c r="C58" s="27">
        <f t="shared" si="3"/>
        <v>161421.28</v>
      </c>
      <c r="D58" s="27">
        <f t="shared" si="2"/>
        <v>0</v>
      </c>
      <c r="E58" s="27">
        <f t="shared" si="2"/>
        <v>1274641.19</v>
      </c>
    </row>
    <row r="59" spans="1:5" x14ac:dyDescent="0.25">
      <c r="A59" t="s">
        <v>259</v>
      </c>
      <c r="C59" s="27">
        <f t="shared" si="3"/>
        <v>12101.32</v>
      </c>
      <c r="D59" s="27">
        <f t="shared" si="2"/>
        <v>0</v>
      </c>
      <c r="E59" s="27">
        <f t="shared" si="2"/>
        <v>389234.7</v>
      </c>
    </row>
    <row r="60" spans="1:5" x14ac:dyDescent="0.25">
      <c r="A60" t="s">
        <v>220</v>
      </c>
      <c r="C60" s="27">
        <f t="shared" si="3"/>
        <v>108240.3075</v>
      </c>
      <c r="D60" s="27">
        <f t="shared" si="2"/>
        <v>684618.57</v>
      </c>
      <c r="E60" s="27">
        <f t="shared" si="2"/>
        <v>86935.165000000008</v>
      </c>
    </row>
    <row r="61" spans="1:5" x14ac:dyDescent="0.25">
      <c r="A61" t="s">
        <v>221</v>
      </c>
      <c r="C61" s="27">
        <f t="shared" si="3"/>
        <v>151331.26749999999</v>
      </c>
      <c r="D61" s="27">
        <f t="shared" si="2"/>
        <v>926543.39</v>
      </c>
      <c r="E61" s="27">
        <f t="shared" si="2"/>
        <v>91683.665000000008</v>
      </c>
    </row>
    <row r="62" spans="1:5" x14ac:dyDescent="0.25">
      <c r="A62" t="s">
        <v>222</v>
      </c>
      <c r="C62" s="27">
        <f t="shared" si="3"/>
        <v>291784.15749999997</v>
      </c>
      <c r="D62" s="27">
        <f t="shared" si="2"/>
        <v>1436081.42</v>
      </c>
      <c r="E62" s="27">
        <f t="shared" si="2"/>
        <v>86935.165000000008</v>
      </c>
    </row>
    <row r="63" spans="1:5" x14ac:dyDescent="0.25">
      <c r="A63" t="s">
        <v>223</v>
      </c>
      <c r="C63" s="27">
        <f t="shared" si="3"/>
        <v>590410.71750000003</v>
      </c>
      <c r="D63" s="27">
        <f t="shared" si="2"/>
        <v>886510.87</v>
      </c>
      <c r="E63" s="27">
        <f t="shared" si="2"/>
        <v>112939.04500000001</v>
      </c>
    </row>
    <row r="64" spans="1:5" x14ac:dyDescent="0.25">
      <c r="A64" t="s">
        <v>224</v>
      </c>
      <c r="C64" s="27">
        <f t="shared" si="3"/>
        <v>312800.35749999998</v>
      </c>
      <c r="D64" s="27">
        <f t="shared" si="3"/>
        <v>968199.33000000007</v>
      </c>
      <c r="E64" s="27">
        <f t="shared" si="3"/>
        <v>86935.165000000008</v>
      </c>
    </row>
    <row r="65" spans="1:5" x14ac:dyDescent="0.25">
      <c r="A65" t="s">
        <v>225</v>
      </c>
      <c r="C65" s="27">
        <f t="shared" si="3"/>
        <v>182001.85749999998</v>
      </c>
      <c r="D65" s="27">
        <f t="shared" si="3"/>
        <v>943424.58000000007</v>
      </c>
      <c r="E65" s="27">
        <f t="shared" si="3"/>
        <v>168217.04500000001</v>
      </c>
    </row>
    <row r="66" spans="1:5" x14ac:dyDescent="0.25">
      <c r="A66" t="s">
        <v>226</v>
      </c>
      <c r="C66" s="27">
        <f t="shared" si="3"/>
        <v>123307.56749999999</v>
      </c>
      <c r="D66" s="27">
        <f t="shared" si="3"/>
        <v>123017.23</v>
      </c>
      <c r="E66" s="27">
        <f t="shared" si="3"/>
        <v>86935.165000000008</v>
      </c>
    </row>
    <row r="67" spans="1:5" x14ac:dyDescent="0.25">
      <c r="A67" t="s">
        <v>227</v>
      </c>
      <c r="C67" s="27">
        <f t="shared" si="3"/>
        <v>113727.72749999999</v>
      </c>
      <c r="D67" s="27">
        <f t="shared" si="3"/>
        <v>245493.74</v>
      </c>
      <c r="E67" s="27">
        <f t="shared" si="3"/>
        <v>105450.10500000001</v>
      </c>
    </row>
    <row r="68" spans="1:5" x14ac:dyDescent="0.25">
      <c r="A68" t="s">
        <v>268</v>
      </c>
      <c r="C68" s="27">
        <f t="shared" si="3"/>
        <v>0</v>
      </c>
      <c r="D68" s="27">
        <f t="shared" si="3"/>
        <v>3476.05</v>
      </c>
      <c r="E68" s="27">
        <f t="shared" si="3"/>
        <v>4265.49</v>
      </c>
    </row>
    <row r="69" spans="1:5" x14ac:dyDescent="0.25">
      <c r="A69" t="s">
        <v>269</v>
      </c>
      <c r="C69" s="27">
        <f t="shared" si="3"/>
        <v>0</v>
      </c>
      <c r="D69" s="27">
        <f t="shared" si="3"/>
        <v>2999.88</v>
      </c>
      <c r="E69" s="27">
        <f t="shared" si="3"/>
        <v>0</v>
      </c>
    </row>
    <row r="70" spans="1:5" x14ac:dyDescent="0.25">
      <c r="A70" t="s">
        <v>219</v>
      </c>
      <c r="C70" s="27">
        <f t="shared" si="3"/>
        <v>181532.14</v>
      </c>
      <c r="D70" s="27">
        <f t="shared" si="3"/>
        <v>0</v>
      </c>
      <c r="E70" s="27">
        <f t="shared" si="3"/>
        <v>61597.73</v>
      </c>
    </row>
    <row r="71" spans="1:5" x14ac:dyDescent="0.25">
      <c r="A71" t="s">
        <v>260</v>
      </c>
      <c r="C71" s="27">
        <f t="shared" si="3"/>
        <v>116971.23999999999</v>
      </c>
      <c r="D71" s="27">
        <f t="shared" si="3"/>
        <v>0</v>
      </c>
      <c r="E71" s="27">
        <f t="shared" si="3"/>
        <v>30886.74</v>
      </c>
    </row>
    <row r="72" spans="1:5" x14ac:dyDescent="0.25">
      <c r="A72" t="s">
        <v>258</v>
      </c>
      <c r="C72" s="27">
        <f t="shared" si="3"/>
        <v>118455.22</v>
      </c>
      <c r="D72" s="27">
        <f t="shared" si="3"/>
        <v>0</v>
      </c>
      <c r="E72" s="27">
        <f t="shared" si="3"/>
        <v>361661.1</v>
      </c>
    </row>
    <row r="73" spans="1:5" x14ac:dyDescent="0.25">
      <c r="A73" t="s">
        <v>243</v>
      </c>
      <c r="C73" s="27">
        <f t="shared" si="3"/>
        <v>245466.86</v>
      </c>
      <c r="D73" s="27">
        <f t="shared" si="3"/>
        <v>1315643.4099999999</v>
      </c>
      <c r="E73" s="27">
        <f t="shared" si="3"/>
        <v>341872.06</v>
      </c>
    </row>
    <row r="74" spans="1:5" x14ac:dyDescent="0.25">
      <c r="A74" t="s">
        <v>240</v>
      </c>
      <c r="C74" s="27">
        <f t="shared" si="3"/>
        <v>0</v>
      </c>
      <c r="D74" s="27">
        <f t="shared" si="3"/>
        <v>186801.43000000002</v>
      </c>
      <c r="E74" s="27">
        <f t="shared" si="3"/>
        <v>0</v>
      </c>
    </row>
    <row r="75" spans="1:5" x14ac:dyDescent="0.25">
      <c r="A75" t="s">
        <v>241</v>
      </c>
      <c r="C75" s="27">
        <f t="shared" si="3"/>
        <v>0</v>
      </c>
      <c r="D75" s="27">
        <f t="shared" si="3"/>
        <v>63431.29</v>
      </c>
      <c r="E75" s="27">
        <f t="shared" si="3"/>
        <v>0</v>
      </c>
    </row>
    <row r="76" spans="1:5" x14ac:dyDescent="0.25">
      <c r="A76" t="s">
        <v>230</v>
      </c>
      <c r="C76" s="27">
        <f t="shared" si="3"/>
        <v>230660.26</v>
      </c>
      <c r="D76" s="27">
        <f t="shared" si="3"/>
        <v>0</v>
      </c>
      <c r="E76" s="27">
        <f t="shared" si="3"/>
        <v>0</v>
      </c>
    </row>
    <row r="77" spans="1:5" x14ac:dyDescent="0.25">
      <c r="A77" t="s">
        <v>231</v>
      </c>
      <c r="C77" s="27">
        <f t="shared" si="3"/>
        <v>2414499.1500000004</v>
      </c>
      <c r="D77" s="27">
        <f t="shared" si="3"/>
        <v>981053.86</v>
      </c>
      <c r="E77" s="27">
        <f t="shared" si="3"/>
        <v>3148686.4899999998</v>
      </c>
    </row>
    <row r="79" spans="1:5" x14ac:dyDescent="0.25">
      <c r="C79" s="27">
        <f>+SUM(C48:C77)</f>
        <v>8828179.1899999995</v>
      </c>
      <c r="D79" s="27">
        <f t="shared" ref="D79:E79" si="4">+SUM(D48:D77)</f>
        <v>19730452.529999997</v>
      </c>
      <c r="E79" s="27">
        <f t="shared" si="4"/>
        <v>14918517.069999995</v>
      </c>
    </row>
    <row r="80" spans="1:5" x14ac:dyDescent="0.25">
      <c r="C80" s="27" t="b">
        <f>+C79=C44</f>
        <v>1</v>
      </c>
      <c r="D80" s="27" t="b">
        <f t="shared" ref="D80:E80" si="5">+D79=D44</f>
        <v>1</v>
      </c>
      <c r="E80" s="27" t="b">
        <f t="shared" si="5"/>
        <v>1</v>
      </c>
    </row>
  </sheetData>
  <autoFilter ref="A1:A42" xr:uid="{568E1567-53E4-4509-9FCD-D3FEB26925B1}">
    <sortState xmlns:xlrd2="http://schemas.microsoft.com/office/spreadsheetml/2017/richdata2" ref="A2:A42">
      <sortCondition ref="A1:A3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66D45-486B-41A2-9FA1-A84147F4B43B}">
  <dimension ref="A2:H43"/>
  <sheetViews>
    <sheetView workbookViewId="0">
      <selection activeCell="F11" sqref="F11:F12"/>
    </sheetView>
  </sheetViews>
  <sheetFormatPr defaultRowHeight="15" x14ac:dyDescent="0.25"/>
  <cols>
    <col min="1" max="2" width="44.28515625" customWidth="1"/>
    <col min="3" max="3" width="15.28515625" style="27" bestFit="1" customWidth="1"/>
    <col min="5" max="5" width="23.42578125" bestFit="1" customWidth="1"/>
    <col min="6" max="6" width="11" bestFit="1" customWidth="1"/>
  </cols>
  <sheetData>
    <row r="2" spans="1:8" x14ac:dyDescent="0.25">
      <c r="A2" t="s">
        <v>179</v>
      </c>
      <c r="B2" t="s">
        <v>231</v>
      </c>
      <c r="C2" s="27">
        <v>564371.61</v>
      </c>
      <c r="E2" t="s">
        <v>231</v>
      </c>
      <c r="F2">
        <f ca="1">+SUMIF($B$2:$B$42,E2,$C$2:$C$41)</f>
        <v>981053.86</v>
      </c>
      <c r="G2">
        <f>+VLOOKUP(E2,'Representative Lineup'!$C$5:$D$33,2,0)</f>
        <v>981053.86</v>
      </c>
      <c r="H2">
        <f ca="1">+F2-G2</f>
        <v>0</v>
      </c>
    </row>
    <row r="3" spans="1:8" x14ac:dyDescent="0.25">
      <c r="A3" t="s">
        <v>179</v>
      </c>
      <c r="B3" t="s">
        <v>231</v>
      </c>
      <c r="C3" s="27">
        <v>416682.25</v>
      </c>
      <c r="E3" t="s">
        <v>220</v>
      </c>
      <c r="F3">
        <f t="shared" ref="F3:F22" ca="1" si="0">+SUMIF($B$2:$B$42,E3,$C$2:$C$41)</f>
        <v>684618.57</v>
      </c>
      <c r="G3">
        <f>+VLOOKUP(E3,'Representative Lineup'!$C$5:$D$33,2,0)</f>
        <v>684618.57</v>
      </c>
      <c r="H3">
        <f t="shared" ref="H3:H22" ca="1" si="1">+F3-G3</f>
        <v>0</v>
      </c>
    </row>
    <row r="4" spans="1:8" x14ac:dyDescent="0.25">
      <c r="A4" t="s">
        <v>180</v>
      </c>
      <c r="B4" t="s">
        <v>220</v>
      </c>
      <c r="C4" s="27">
        <v>568877.49</v>
      </c>
      <c r="E4" t="s">
        <v>221</v>
      </c>
      <c r="F4">
        <f t="shared" ca="1" si="0"/>
        <v>926543.39</v>
      </c>
      <c r="G4">
        <f>+VLOOKUP(E4,'Representative Lineup'!$C$5:$D$33,2,0)</f>
        <v>926543.39</v>
      </c>
      <c r="H4">
        <f t="shared" ca="1" si="1"/>
        <v>0</v>
      </c>
    </row>
    <row r="5" spans="1:8" x14ac:dyDescent="0.25">
      <c r="A5" t="s">
        <v>180</v>
      </c>
      <c r="B5" t="s">
        <v>220</v>
      </c>
      <c r="C5" s="27">
        <v>115741.08</v>
      </c>
      <c r="E5" t="s">
        <v>222</v>
      </c>
      <c r="F5">
        <f t="shared" ca="1" si="0"/>
        <v>1436081.42</v>
      </c>
      <c r="G5">
        <f>+VLOOKUP(E5,'Representative Lineup'!$C$5:$D$33,2,0)</f>
        <v>1436081.42</v>
      </c>
      <c r="H5">
        <f t="shared" ca="1" si="1"/>
        <v>0</v>
      </c>
    </row>
    <row r="6" spans="1:8" x14ac:dyDescent="0.25">
      <c r="A6" t="s">
        <v>181</v>
      </c>
      <c r="B6" t="str">
        <f>"Target-Date "&amp;RIGHT(A6,4)</f>
        <v>Target-Date 2025</v>
      </c>
      <c r="C6" s="27">
        <v>670224.03</v>
      </c>
      <c r="E6" t="s">
        <v>223</v>
      </c>
      <c r="F6">
        <f t="shared" ca="1" si="0"/>
        <v>886510.87</v>
      </c>
      <c r="G6">
        <f>+VLOOKUP(E6,'Representative Lineup'!$C$5:$D$33,2,0)</f>
        <v>886510.87</v>
      </c>
      <c r="H6">
        <f t="shared" ca="1" si="1"/>
        <v>0</v>
      </c>
    </row>
    <row r="7" spans="1:8" x14ac:dyDescent="0.25">
      <c r="A7" t="s">
        <v>181</v>
      </c>
      <c r="B7" t="str">
        <f t="shared" ref="B7:B19" si="2">"Target-Date "&amp;RIGHT(A7,4)</f>
        <v>Target-Date 2025</v>
      </c>
      <c r="C7" s="27">
        <v>256319.35999999999</v>
      </c>
      <c r="E7" t="s">
        <v>224</v>
      </c>
      <c r="F7">
        <f t="shared" ca="1" si="0"/>
        <v>968199.33000000007</v>
      </c>
      <c r="G7">
        <f>+VLOOKUP(E7,'Representative Lineup'!$C$5:$D$33,2,0)</f>
        <v>968199.33000000007</v>
      </c>
      <c r="H7">
        <f t="shared" ca="1" si="1"/>
        <v>0</v>
      </c>
    </row>
    <row r="8" spans="1:8" x14ac:dyDescent="0.25">
      <c r="A8" t="s">
        <v>182</v>
      </c>
      <c r="B8" t="str">
        <f t="shared" si="2"/>
        <v>Target-Date 2030</v>
      </c>
      <c r="C8" s="27">
        <v>1070248.82</v>
      </c>
      <c r="E8" t="s">
        <v>225</v>
      </c>
      <c r="F8">
        <f t="shared" ca="1" si="0"/>
        <v>943424.58000000007</v>
      </c>
      <c r="G8">
        <f>+VLOOKUP(E8,'Representative Lineup'!$C$5:$D$33,2,0)</f>
        <v>943424.58000000007</v>
      </c>
      <c r="H8">
        <f t="shared" ca="1" si="1"/>
        <v>0</v>
      </c>
    </row>
    <row r="9" spans="1:8" x14ac:dyDescent="0.25">
      <c r="A9" t="s">
        <v>182</v>
      </c>
      <c r="B9" t="str">
        <f t="shared" si="2"/>
        <v>Target-Date 2030</v>
      </c>
      <c r="C9" s="27">
        <v>365832.6</v>
      </c>
      <c r="E9" t="s">
        <v>226</v>
      </c>
      <c r="F9">
        <f t="shared" ca="1" si="0"/>
        <v>123017.23</v>
      </c>
      <c r="G9">
        <f>+VLOOKUP(E9,'Representative Lineup'!$C$5:$D$33,2,0)</f>
        <v>123017.23</v>
      </c>
      <c r="H9">
        <f t="shared" ca="1" si="1"/>
        <v>0</v>
      </c>
    </row>
    <row r="10" spans="1:8" x14ac:dyDescent="0.25">
      <c r="A10" t="s">
        <v>183</v>
      </c>
      <c r="B10" t="str">
        <f t="shared" si="2"/>
        <v>Target-Date 2035</v>
      </c>
      <c r="C10" s="27">
        <v>723628.01</v>
      </c>
      <c r="E10" t="s">
        <v>227</v>
      </c>
      <c r="F10">
        <f t="shared" ca="1" si="0"/>
        <v>245493.74</v>
      </c>
      <c r="G10">
        <f>+VLOOKUP(E10,'Representative Lineup'!$C$5:$D$33,2,0)</f>
        <v>245493.74</v>
      </c>
      <c r="H10">
        <f t="shared" ca="1" si="1"/>
        <v>0</v>
      </c>
    </row>
    <row r="11" spans="1:8" x14ac:dyDescent="0.25">
      <c r="A11" t="s">
        <v>183</v>
      </c>
      <c r="B11" t="str">
        <f t="shared" si="2"/>
        <v>Target-Date 2035</v>
      </c>
      <c r="C11" s="27">
        <v>162882.85999999999</v>
      </c>
      <c r="E11" t="s">
        <v>268</v>
      </c>
      <c r="F11">
        <f t="shared" ca="1" si="0"/>
        <v>3476.05</v>
      </c>
      <c r="G11" t="e">
        <f>+VLOOKUP(E11,'Representative Lineup'!$C$5:$D$33,2,0)</f>
        <v>#N/A</v>
      </c>
    </row>
    <row r="12" spans="1:8" x14ac:dyDescent="0.25">
      <c r="A12" t="s">
        <v>184</v>
      </c>
      <c r="B12" t="str">
        <f t="shared" si="2"/>
        <v>Target-Date 2040</v>
      </c>
      <c r="C12" s="27">
        <v>851981.9</v>
      </c>
      <c r="E12" t="s">
        <v>269</v>
      </c>
      <c r="F12">
        <f t="shared" ca="1" si="0"/>
        <v>2999.88</v>
      </c>
      <c r="G12" t="e">
        <f>+VLOOKUP(E12,'Representative Lineup'!$C$5:$D$33,2,0)</f>
        <v>#N/A</v>
      </c>
    </row>
    <row r="13" spans="1:8" x14ac:dyDescent="0.25">
      <c r="A13" t="s">
        <v>184</v>
      </c>
      <c r="B13" t="str">
        <f t="shared" si="2"/>
        <v>Target-Date 2040</v>
      </c>
      <c r="C13" s="27">
        <v>116217.43</v>
      </c>
      <c r="E13" t="s">
        <v>242</v>
      </c>
      <c r="F13">
        <f t="shared" ca="1" si="0"/>
        <v>0</v>
      </c>
      <c r="G13" t="e">
        <f>+VLOOKUP(E13,'Representative Lineup'!$C$5:$D$33,2,0)</f>
        <v>#N/A</v>
      </c>
    </row>
    <row r="14" spans="1:8" x14ac:dyDescent="0.25">
      <c r="A14" t="s">
        <v>185</v>
      </c>
      <c r="B14" t="str">
        <f t="shared" si="2"/>
        <v>Target-Date 2045</v>
      </c>
      <c r="C14" s="27">
        <v>935742.4</v>
      </c>
      <c r="E14" t="s">
        <v>238</v>
      </c>
      <c r="F14">
        <f t="shared" ca="1" si="0"/>
        <v>0</v>
      </c>
      <c r="G14" t="e">
        <f>+VLOOKUP(E14,'Representative Lineup'!$C$5:$D$33,2,0)</f>
        <v>#N/A</v>
      </c>
    </row>
    <row r="15" spans="1:8" x14ac:dyDescent="0.25">
      <c r="A15" t="s">
        <v>185</v>
      </c>
      <c r="B15" t="str">
        <f t="shared" si="2"/>
        <v>Target-Date 2045</v>
      </c>
      <c r="C15" s="27">
        <v>7682.18</v>
      </c>
      <c r="E15" t="s">
        <v>243</v>
      </c>
      <c r="F15">
        <f t="shared" ca="1" si="0"/>
        <v>1315643.4099999999</v>
      </c>
      <c r="G15">
        <f>+VLOOKUP(E15,'Representative Lineup'!$C$5:$D$33,2,0)</f>
        <v>1315643.4099999999</v>
      </c>
      <c r="H15">
        <f t="shared" ca="1" si="1"/>
        <v>0</v>
      </c>
    </row>
    <row r="16" spans="1:8" x14ac:dyDescent="0.25">
      <c r="A16" t="s">
        <v>186</v>
      </c>
      <c r="B16" t="str">
        <f t="shared" si="2"/>
        <v>Target-Date 2050</v>
      </c>
      <c r="C16" s="27">
        <v>123017.23</v>
      </c>
      <c r="E16" t="s">
        <v>204</v>
      </c>
      <c r="F16">
        <f t="shared" ca="1" si="0"/>
        <v>1471499.8800000001</v>
      </c>
      <c r="G16">
        <f>+VLOOKUP(E16,'Representative Lineup'!$C$5:$D$33,2,0)</f>
        <v>1471499.8800000001</v>
      </c>
      <c r="H16">
        <f t="shared" ca="1" si="1"/>
        <v>0</v>
      </c>
    </row>
    <row r="17" spans="1:8" x14ac:dyDescent="0.25">
      <c r="A17" t="s">
        <v>187</v>
      </c>
      <c r="B17" t="str">
        <f t="shared" si="2"/>
        <v>Target-Date 2055</v>
      </c>
      <c r="C17" s="27">
        <v>245493.74</v>
      </c>
      <c r="E17" t="s">
        <v>207</v>
      </c>
      <c r="F17">
        <f t="shared" ca="1" si="0"/>
        <v>3326926.12</v>
      </c>
      <c r="G17">
        <f>+VLOOKUP(E17,'Representative Lineup'!$C$5:$D$33,2,0)</f>
        <v>3326926.12</v>
      </c>
      <c r="H17">
        <f t="shared" ca="1" si="1"/>
        <v>0</v>
      </c>
    </row>
    <row r="18" spans="1:8" x14ac:dyDescent="0.25">
      <c r="A18" t="s">
        <v>188</v>
      </c>
      <c r="B18" t="str">
        <f t="shared" si="2"/>
        <v>Target-Date 2060</v>
      </c>
      <c r="C18" s="27">
        <v>3476.05</v>
      </c>
      <c r="E18" t="s">
        <v>209</v>
      </c>
      <c r="F18">
        <f t="shared" ca="1" si="0"/>
        <v>2864286.1700000004</v>
      </c>
      <c r="G18">
        <f>+VLOOKUP(E18,'Representative Lineup'!$C$5:$D$33,2,0)</f>
        <v>2864286.1700000004</v>
      </c>
      <c r="H18">
        <f t="shared" ca="1" si="1"/>
        <v>0</v>
      </c>
    </row>
    <row r="19" spans="1:8" x14ac:dyDescent="0.25">
      <c r="A19" t="s">
        <v>189</v>
      </c>
      <c r="B19" t="str">
        <f t="shared" si="2"/>
        <v>Target-Date 2065</v>
      </c>
      <c r="C19" s="27">
        <v>2999.88</v>
      </c>
      <c r="E19" t="s">
        <v>239</v>
      </c>
      <c r="F19">
        <f t="shared" ca="1" si="0"/>
        <v>1077722.81</v>
      </c>
      <c r="G19">
        <f>+VLOOKUP(E19,'Representative Lineup'!$C$5:$D$33,2,0)</f>
        <v>1077722.81</v>
      </c>
      <c r="H19">
        <f t="shared" ca="1" si="1"/>
        <v>0</v>
      </c>
    </row>
    <row r="20" spans="1:8" x14ac:dyDescent="0.25">
      <c r="A20" s="42" t="s">
        <v>190</v>
      </c>
      <c r="B20" s="42" t="s">
        <v>243</v>
      </c>
      <c r="C20" s="27">
        <v>531489.4</v>
      </c>
      <c r="E20" t="s">
        <v>212</v>
      </c>
      <c r="F20">
        <f t="shared" ca="1" si="0"/>
        <v>2222722.5</v>
      </c>
      <c r="G20">
        <f>+VLOOKUP(E20,'Representative Lineup'!$C$5:$D$33,2,0)</f>
        <v>2222722.5</v>
      </c>
      <c r="H20">
        <f t="shared" ca="1" si="1"/>
        <v>0</v>
      </c>
    </row>
    <row r="21" spans="1:8" x14ac:dyDescent="0.25">
      <c r="A21" s="42" t="s">
        <v>190</v>
      </c>
      <c r="B21" s="42" t="s">
        <v>243</v>
      </c>
      <c r="C21" s="27">
        <v>162250.46</v>
      </c>
      <c r="E21" t="s">
        <v>240</v>
      </c>
      <c r="F21">
        <f t="shared" ca="1" si="0"/>
        <v>186801.43000000002</v>
      </c>
      <c r="G21">
        <f>+VLOOKUP(E21,'Representative Lineup'!$C$5:$D$33,2,0)</f>
        <v>186801.43000000002</v>
      </c>
      <c r="H21">
        <f t="shared" ca="1" si="1"/>
        <v>0</v>
      </c>
    </row>
    <row r="22" spans="1:8" x14ac:dyDescent="0.25">
      <c r="A22" t="s">
        <v>191</v>
      </c>
      <c r="B22" s="42" t="s">
        <v>243</v>
      </c>
      <c r="C22" s="27">
        <v>44871.7</v>
      </c>
      <c r="E22" t="s">
        <v>241</v>
      </c>
      <c r="F22">
        <f t="shared" ca="1" si="0"/>
        <v>63431.29</v>
      </c>
      <c r="G22">
        <f>+VLOOKUP(E22,'Representative Lineup'!$C$5:$D$33,2,0)</f>
        <v>63431.29</v>
      </c>
      <c r="H22">
        <f t="shared" ca="1" si="1"/>
        <v>0</v>
      </c>
    </row>
    <row r="23" spans="1:8" x14ac:dyDescent="0.25">
      <c r="A23" t="s">
        <v>191</v>
      </c>
      <c r="B23" s="42" t="s">
        <v>243</v>
      </c>
      <c r="C23" s="27">
        <v>47358.73</v>
      </c>
    </row>
    <row r="24" spans="1:8" x14ac:dyDescent="0.25">
      <c r="A24" s="42" t="s">
        <v>192</v>
      </c>
      <c r="B24" s="42" t="s">
        <v>243</v>
      </c>
      <c r="C24" s="27">
        <v>385971.21</v>
      </c>
      <c r="F24">
        <f ca="1">+SUM(F2:F22)</f>
        <v>19730452.530000001</v>
      </c>
    </row>
    <row r="25" spans="1:8" x14ac:dyDescent="0.25">
      <c r="A25" s="42" t="s">
        <v>192</v>
      </c>
      <c r="B25" s="42" t="s">
        <v>243</v>
      </c>
      <c r="C25" s="27">
        <v>143701.91</v>
      </c>
    </row>
    <row r="26" spans="1:8" x14ac:dyDescent="0.25">
      <c r="A26" t="s">
        <v>193</v>
      </c>
      <c r="B26" t="s">
        <v>204</v>
      </c>
      <c r="C26" s="27">
        <v>1334367.29</v>
      </c>
      <c r="F26" s="87">
        <f ca="1">+C43-F24</f>
        <v>0</v>
      </c>
    </row>
    <row r="27" spans="1:8" x14ac:dyDescent="0.25">
      <c r="A27" t="s">
        <v>193</v>
      </c>
      <c r="B27" t="s">
        <v>204</v>
      </c>
      <c r="C27" s="27">
        <v>137132.59</v>
      </c>
      <c r="F27" s="87">
        <f>+C43-'Representative Lineup'!D35</f>
        <v>0</v>
      </c>
    </row>
    <row r="28" spans="1:8" x14ac:dyDescent="0.25">
      <c r="A28" t="s">
        <v>194</v>
      </c>
      <c r="B28" t="s">
        <v>207</v>
      </c>
      <c r="C28" s="27">
        <v>3023453.34</v>
      </c>
    </row>
    <row r="29" spans="1:8" x14ac:dyDescent="0.25">
      <c r="A29" t="s">
        <v>195</v>
      </c>
      <c r="B29" t="s">
        <v>207</v>
      </c>
      <c r="C29" s="27">
        <v>303472.78000000003</v>
      </c>
    </row>
    <row r="30" spans="1:8" x14ac:dyDescent="0.25">
      <c r="A30" t="s">
        <v>196</v>
      </c>
      <c r="B30" t="s">
        <v>209</v>
      </c>
      <c r="C30" s="27">
        <v>2554788.1800000002</v>
      </c>
    </row>
    <row r="31" spans="1:8" x14ac:dyDescent="0.25">
      <c r="A31" t="s">
        <v>196</v>
      </c>
      <c r="B31" t="s">
        <v>209</v>
      </c>
      <c r="C31" s="27">
        <v>307728.87</v>
      </c>
    </row>
    <row r="32" spans="1:8" x14ac:dyDescent="0.25">
      <c r="A32" t="s">
        <v>196</v>
      </c>
      <c r="B32" t="s">
        <v>209</v>
      </c>
      <c r="C32" s="27">
        <v>1769.12</v>
      </c>
    </row>
    <row r="33" spans="1:3" x14ac:dyDescent="0.25">
      <c r="A33" t="s">
        <v>197</v>
      </c>
      <c r="B33" t="s">
        <v>239</v>
      </c>
      <c r="C33" s="27">
        <v>995227.77</v>
      </c>
    </row>
    <row r="34" spans="1:3" x14ac:dyDescent="0.25">
      <c r="A34" t="s">
        <v>197</v>
      </c>
      <c r="B34" t="s">
        <v>239</v>
      </c>
      <c r="C34" s="27">
        <v>81906.45</v>
      </c>
    </row>
    <row r="35" spans="1:3" x14ac:dyDescent="0.25">
      <c r="A35" t="s">
        <v>197</v>
      </c>
      <c r="B35" t="s">
        <v>239</v>
      </c>
      <c r="C35" s="27">
        <v>588.59</v>
      </c>
    </row>
    <row r="36" spans="1:3" x14ac:dyDescent="0.25">
      <c r="A36" t="s">
        <v>198</v>
      </c>
      <c r="B36" t="s">
        <v>212</v>
      </c>
      <c r="C36" s="27">
        <v>2098586.0299999998</v>
      </c>
    </row>
    <row r="37" spans="1:3" x14ac:dyDescent="0.25">
      <c r="A37" t="s">
        <v>199</v>
      </c>
      <c r="B37" t="s">
        <v>212</v>
      </c>
      <c r="C37" s="27">
        <v>123522.79</v>
      </c>
    </row>
    <row r="38" spans="1:3" x14ac:dyDescent="0.25">
      <c r="A38" t="s">
        <v>199</v>
      </c>
      <c r="B38" t="s">
        <v>212</v>
      </c>
      <c r="C38" s="27">
        <f>667.68-54</f>
        <v>613.67999999999995</v>
      </c>
    </row>
    <row r="39" spans="1:3" x14ac:dyDescent="0.25">
      <c r="A39" t="s">
        <v>200</v>
      </c>
      <c r="B39" t="s">
        <v>240</v>
      </c>
      <c r="C39" s="27">
        <v>154593.67000000001</v>
      </c>
    </row>
    <row r="40" spans="1:3" x14ac:dyDescent="0.25">
      <c r="A40" t="s">
        <v>200</v>
      </c>
      <c r="B40" t="s">
        <v>240</v>
      </c>
      <c r="C40" s="27">
        <v>32207.759999999998</v>
      </c>
    </row>
    <row r="41" spans="1:3" x14ac:dyDescent="0.25">
      <c r="A41" t="s">
        <v>201</v>
      </c>
      <c r="B41" t="s">
        <v>241</v>
      </c>
      <c r="C41" s="27">
        <v>63431.29</v>
      </c>
    </row>
    <row r="42" spans="1:3" x14ac:dyDescent="0.25">
      <c r="A42" t="s">
        <v>201</v>
      </c>
      <c r="B42" t="s">
        <v>241</v>
      </c>
    </row>
    <row r="43" spans="1:3" x14ac:dyDescent="0.25">
      <c r="C43" s="27">
        <f>+SUM(C2:C42)</f>
        <v>19730452.530000001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44954-AED0-46BE-BB8A-FBB4F4A272FB}">
  <dimension ref="A1:O48"/>
  <sheetViews>
    <sheetView workbookViewId="0">
      <selection activeCell="F11" sqref="F11:F12"/>
    </sheetView>
  </sheetViews>
  <sheetFormatPr defaultRowHeight="15" x14ac:dyDescent="0.25"/>
  <cols>
    <col min="1" max="1" width="52.85546875" bestFit="1" customWidth="1"/>
    <col min="2" max="2" width="7.5703125" bestFit="1" customWidth="1"/>
    <col min="3" max="3" width="10.28515625" bestFit="1" customWidth="1"/>
    <col min="4" max="4" width="30.42578125" customWidth="1"/>
    <col min="5" max="5" width="13.5703125" bestFit="1" customWidth="1"/>
    <col min="6" max="6" width="18.140625" bestFit="1" customWidth="1"/>
    <col min="9" max="9" width="10.85546875" bestFit="1" customWidth="1"/>
    <col min="14" max="14" width="10.28515625" bestFit="1" customWidth="1"/>
  </cols>
  <sheetData>
    <row r="1" spans="1:15" x14ac:dyDescent="0.25">
      <c r="A1" t="s">
        <v>107</v>
      </c>
      <c r="B1" t="s">
        <v>0</v>
      </c>
      <c r="C1" t="s">
        <v>106</v>
      </c>
      <c r="E1" t="s">
        <v>13</v>
      </c>
      <c r="N1" t="s">
        <v>96</v>
      </c>
      <c r="O1" t="s">
        <v>244</v>
      </c>
    </row>
    <row r="2" spans="1:15" x14ac:dyDescent="0.25">
      <c r="A2" s="71" t="s">
        <v>35</v>
      </c>
      <c r="B2" s="71" t="s">
        <v>61</v>
      </c>
      <c r="C2" s="71" t="s">
        <v>93</v>
      </c>
      <c r="D2" s="23" t="s">
        <v>259</v>
      </c>
      <c r="E2" s="72">
        <v>12101.32</v>
      </c>
      <c r="G2">
        <f>+VLOOKUP(E2,'[1]301838'!$G$2:$G$46,1,0)</f>
        <v>12101.32</v>
      </c>
      <c r="H2" t="e">
        <f>+VLOOKUP(E2,E3:E46,1,0)</f>
        <v>#N/A</v>
      </c>
      <c r="N2" t="s">
        <v>67</v>
      </c>
      <c r="O2" t="s">
        <v>244</v>
      </c>
    </row>
    <row r="3" spans="1:15" x14ac:dyDescent="0.25">
      <c r="A3" s="17" t="s">
        <v>37</v>
      </c>
      <c r="B3" s="19" t="s">
        <v>61</v>
      </c>
      <c r="C3" s="20" t="s">
        <v>95</v>
      </c>
      <c r="D3" s="23" t="s">
        <v>218</v>
      </c>
      <c r="E3" s="72">
        <v>49599.840000000004</v>
      </c>
      <c r="G3">
        <f>+VLOOKUP(E3,'[1]301838'!$G$2:$G$46,1,0)</f>
        <v>49599.840000000004</v>
      </c>
      <c r="H3" t="e">
        <f>+VLOOKUP(E3,E4:E47,1,0)</f>
        <v>#N/A</v>
      </c>
      <c r="N3" t="s">
        <v>90</v>
      </c>
      <c r="O3" t="s">
        <v>245</v>
      </c>
    </row>
    <row r="4" spans="1:15" x14ac:dyDescent="0.25">
      <c r="A4" s="17" t="s">
        <v>38</v>
      </c>
      <c r="B4" s="19" t="s">
        <v>65</v>
      </c>
      <c r="C4" s="20" t="s">
        <v>61</v>
      </c>
      <c r="D4" s="23" t="s">
        <v>216</v>
      </c>
      <c r="E4" s="72">
        <v>111821.44</v>
      </c>
      <c r="G4">
        <f>+VLOOKUP(E4,'[1]301838'!$G$2:$G$46,1,0)</f>
        <v>111821.44</v>
      </c>
      <c r="H4" t="e">
        <f>+VLOOKUP(E4,E5:E48,1,0)</f>
        <v>#N/A</v>
      </c>
      <c r="N4" t="s">
        <v>64</v>
      </c>
      <c r="O4" t="s">
        <v>245</v>
      </c>
    </row>
    <row r="5" spans="1:15" x14ac:dyDescent="0.25">
      <c r="A5" s="17" t="s">
        <v>36</v>
      </c>
      <c r="B5" s="19" t="s">
        <v>61</v>
      </c>
      <c r="C5" s="20" t="s">
        <v>94</v>
      </c>
      <c r="D5" s="23" t="s">
        <v>239</v>
      </c>
      <c r="E5" s="72">
        <v>105253.27</v>
      </c>
      <c r="G5">
        <f>+VLOOKUP(E5,'[1]301838'!$G$2:$G$46,1,0)</f>
        <v>105253.27</v>
      </c>
      <c r="H5" t="e">
        <f>+VLOOKUP(E5,E6:E49,1,0)</f>
        <v>#N/A</v>
      </c>
      <c r="N5" t="s">
        <v>91</v>
      </c>
      <c r="O5" t="s">
        <v>245</v>
      </c>
    </row>
    <row r="6" spans="1:15" x14ac:dyDescent="0.25">
      <c r="A6" s="17" t="s">
        <v>34</v>
      </c>
      <c r="B6" s="19" t="s">
        <v>61</v>
      </c>
      <c r="C6" s="20" t="s">
        <v>92</v>
      </c>
      <c r="D6" s="23" t="str">
        <f>+VLOOKUP(C6,$N$1:$O$48,2,0)</f>
        <v>Guaranteed Lifetime Income</v>
      </c>
      <c r="E6" s="72">
        <v>463599.51</v>
      </c>
      <c r="G6">
        <f>+VLOOKUP(E6,'[1]301838'!$G$2:$G$46,1,0)</f>
        <v>463599.51</v>
      </c>
      <c r="H6" t="e">
        <f>+VLOOKUP(E6,E7:E50,1,0)</f>
        <v>#N/A</v>
      </c>
      <c r="N6" t="s">
        <v>63</v>
      </c>
      <c r="O6" t="s">
        <v>245</v>
      </c>
    </row>
    <row r="7" spans="1:15" x14ac:dyDescent="0.25">
      <c r="A7" s="17" t="s">
        <v>32</v>
      </c>
      <c r="B7" s="19" t="s">
        <v>63</v>
      </c>
      <c r="C7" s="20" t="s">
        <v>61</v>
      </c>
      <c r="D7" s="23" t="s">
        <v>229</v>
      </c>
      <c r="E7" s="72">
        <v>22586.720000000001</v>
      </c>
      <c r="G7">
        <f>+VLOOKUP(E7,'[1]301838'!$G$2:$G$46,1,0)</f>
        <v>22586.720000000001</v>
      </c>
      <c r="H7" t="e">
        <f>+VLOOKUP(E7,E8:E51,1,0)</f>
        <v>#N/A</v>
      </c>
      <c r="N7" t="s">
        <v>92</v>
      </c>
      <c r="O7" t="s">
        <v>246</v>
      </c>
    </row>
    <row r="8" spans="1:15" x14ac:dyDescent="0.25">
      <c r="A8" s="17" t="s">
        <v>31</v>
      </c>
      <c r="B8" s="19" t="s">
        <v>61</v>
      </c>
      <c r="C8" s="20" t="s">
        <v>91</v>
      </c>
      <c r="D8" s="23" t="s">
        <v>238</v>
      </c>
      <c r="E8" s="72">
        <v>184856.88999999998</v>
      </c>
      <c r="G8">
        <f>+VLOOKUP(E8,'[1]301838'!$G$2:$G$46,1,0)</f>
        <v>184856.88999999998</v>
      </c>
      <c r="H8" t="e">
        <f t="shared" ref="H8:H45" si="0">+VLOOKUP(E8,E9:E52,1,0)</f>
        <v>#N/A</v>
      </c>
      <c r="N8" t="s">
        <v>86</v>
      </c>
      <c r="O8" t="s">
        <v>247</v>
      </c>
    </row>
    <row r="9" spans="1:15" x14ac:dyDescent="0.25">
      <c r="A9" s="17" t="s">
        <v>30</v>
      </c>
      <c r="B9" s="19" t="s">
        <v>61</v>
      </c>
      <c r="C9" s="20" t="s">
        <v>90</v>
      </c>
      <c r="D9" s="23" t="s">
        <v>257</v>
      </c>
      <c r="E9" s="72">
        <v>38023.25</v>
      </c>
      <c r="G9">
        <f>+VLOOKUP(E9,'[1]301838'!$G$2:$G$46,1,0)</f>
        <v>38023.25</v>
      </c>
      <c r="H9" t="e">
        <f t="shared" si="0"/>
        <v>#N/A</v>
      </c>
      <c r="N9" t="s">
        <v>251</v>
      </c>
      <c r="O9" t="s">
        <v>247</v>
      </c>
    </row>
    <row r="10" spans="1:15" x14ac:dyDescent="0.25">
      <c r="A10" s="17" t="s">
        <v>33</v>
      </c>
      <c r="B10" s="19" t="s">
        <v>64</v>
      </c>
      <c r="C10" s="20" t="s">
        <v>61</v>
      </c>
      <c r="D10" s="23" t="s">
        <v>258</v>
      </c>
      <c r="E10" s="72">
        <v>118455.22</v>
      </c>
      <c r="G10">
        <f>+VLOOKUP(E10,'[1]301838'!$G$2:$G$46,1,0)</f>
        <v>118455.22</v>
      </c>
      <c r="H10" t="e">
        <f t="shared" si="0"/>
        <v>#N/A</v>
      </c>
      <c r="N10" t="s">
        <v>78</v>
      </c>
      <c r="O10" t="s">
        <v>247</v>
      </c>
    </row>
    <row r="11" spans="1:15" ht="15.75" x14ac:dyDescent="0.25">
      <c r="A11" s="17" t="s">
        <v>56</v>
      </c>
      <c r="B11" s="19" t="s">
        <v>73</v>
      </c>
      <c r="C11" s="20" t="s">
        <v>61</v>
      </c>
      <c r="D11" s="74" t="s">
        <v>207</v>
      </c>
      <c r="E11" s="30">
        <v>95115.51999999999</v>
      </c>
      <c r="G11">
        <f>+VLOOKUP(E11,'[1]301838'!$G$2:$G$46,1,0)</f>
        <v>95115.51999999999</v>
      </c>
      <c r="H11" t="e">
        <f t="shared" si="0"/>
        <v>#N/A</v>
      </c>
      <c r="N11" t="s">
        <v>79</v>
      </c>
      <c r="O11" t="s">
        <v>247</v>
      </c>
    </row>
    <row r="12" spans="1:15" x14ac:dyDescent="0.25">
      <c r="A12" s="17" t="s">
        <v>42</v>
      </c>
      <c r="B12" s="19" t="s">
        <v>61</v>
      </c>
      <c r="C12" s="20" t="s">
        <v>97</v>
      </c>
      <c r="D12" s="43" t="s">
        <v>207</v>
      </c>
      <c r="E12" s="30">
        <v>85907.17</v>
      </c>
      <c r="G12">
        <f>+VLOOKUP(E12,'[1]301838'!$G$2:$G$46,1,0)</f>
        <v>85907.17</v>
      </c>
      <c r="H12" t="e">
        <f t="shared" si="0"/>
        <v>#N/A</v>
      </c>
      <c r="N12" t="s">
        <v>80</v>
      </c>
      <c r="O12" t="s">
        <v>247</v>
      </c>
    </row>
    <row r="13" spans="1:15" x14ac:dyDescent="0.25">
      <c r="A13" s="17" t="s">
        <v>44</v>
      </c>
      <c r="B13" s="19" t="s">
        <v>61</v>
      </c>
      <c r="C13" s="20" t="s">
        <v>99</v>
      </c>
      <c r="D13" s="43" t="s">
        <v>207</v>
      </c>
      <c r="E13" s="30">
        <v>81332.78</v>
      </c>
      <c r="G13">
        <f>+VLOOKUP(E13,'[1]301838'!$G$2:$G$46,1,0)</f>
        <v>81332.78</v>
      </c>
      <c r="H13" t="e">
        <f t="shared" si="0"/>
        <v>#N/A</v>
      </c>
      <c r="N13" t="s">
        <v>81</v>
      </c>
      <c r="O13" t="s">
        <v>247</v>
      </c>
    </row>
    <row r="14" spans="1:15" ht="15.75" x14ac:dyDescent="0.25">
      <c r="A14" s="17" t="s">
        <v>58</v>
      </c>
      <c r="B14" s="19" t="s">
        <v>75</v>
      </c>
      <c r="C14" s="20" t="s">
        <v>61</v>
      </c>
      <c r="D14" s="76" t="s">
        <v>207</v>
      </c>
      <c r="E14" s="30">
        <v>16169.81</v>
      </c>
      <c r="G14">
        <f>+VLOOKUP(E14,'[1]301838'!$G$2:$G$46,1,0)</f>
        <v>16169.81</v>
      </c>
      <c r="H14" t="e">
        <f t="shared" si="0"/>
        <v>#N/A</v>
      </c>
      <c r="I14" s="70">
        <f>+E22+E23+E24+E25</f>
        <v>864049.51</v>
      </c>
      <c r="N14" t="s">
        <v>82</v>
      </c>
      <c r="O14" t="s">
        <v>247</v>
      </c>
    </row>
    <row r="15" spans="1:15" x14ac:dyDescent="0.25">
      <c r="A15" s="17" t="s">
        <v>53</v>
      </c>
      <c r="B15" s="19" t="s">
        <v>70</v>
      </c>
      <c r="C15" s="20" t="s">
        <v>61</v>
      </c>
      <c r="D15" s="43" t="s">
        <v>209</v>
      </c>
      <c r="E15" s="30">
        <v>991856.47</v>
      </c>
      <c r="G15">
        <f>+VLOOKUP(E15,'[1]301838'!$G$2:$G$46,1,0)</f>
        <v>991856.47</v>
      </c>
      <c r="H15" t="e">
        <f t="shared" si="0"/>
        <v>#N/A</v>
      </c>
      <c r="I15">
        <f>+I14/8</f>
        <v>108006.18875</v>
      </c>
      <c r="N15" t="s">
        <v>83</v>
      </c>
      <c r="O15" t="s">
        <v>247</v>
      </c>
    </row>
    <row r="16" spans="1:15" x14ac:dyDescent="0.25">
      <c r="A16" s="17" t="s">
        <v>48</v>
      </c>
      <c r="B16" s="19" t="s">
        <v>61</v>
      </c>
      <c r="C16" s="20" t="s">
        <v>103</v>
      </c>
      <c r="D16" s="43" t="s">
        <v>209</v>
      </c>
      <c r="E16" s="30">
        <v>215893.62999999998</v>
      </c>
      <c r="G16">
        <f>+VLOOKUP(E16,'[1]301838'!$G$2:$G$46,1,0)</f>
        <v>215893.62999999998</v>
      </c>
      <c r="H16" t="e">
        <f t="shared" si="0"/>
        <v>#N/A</v>
      </c>
      <c r="N16" t="s">
        <v>84</v>
      </c>
      <c r="O16" t="s">
        <v>247</v>
      </c>
    </row>
    <row r="17" spans="1:15" x14ac:dyDescent="0.25">
      <c r="A17" s="17" t="s">
        <v>43</v>
      </c>
      <c r="B17" s="19" t="s">
        <v>61</v>
      </c>
      <c r="C17" s="20" t="s">
        <v>98</v>
      </c>
      <c r="D17" s="43" t="s">
        <v>209</v>
      </c>
      <c r="E17" s="30">
        <v>198831.08000000002</v>
      </c>
      <c r="G17">
        <f>+VLOOKUP(E17,'[1]301838'!$G$2:$G$46,1,0)</f>
        <v>198831.08000000002</v>
      </c>
      <c r="H17" t="e">
        <f t="shared" si="0"/>
        <v>#N/A</v>
      </c>
      <c r="N17" t="s">
        <v>85</v>
      </c>
      <c r="O17" t="s">
        <v>247</v>
      </c>
    </row>
    <row r="18" spans="1:15" ht="15.75" x14ac:dyDescent="0.25">
      <c r="A18" s="17" t="s">
        <v>59</v>
      </c>
      <c r="B18" s="19" t="s">
        <v>76</v>
      </c>
      <c r="C18" s="20" t="s">
        <v>61</v>
      </c>
      <c r="D18" s="74" t="s">
        <v>209</v>
      </c>
      <c r="E18" s="30">
        <v>128159.09</v>
      </c>
      <c r="G18">
        <f>+VLOOKUP(E18,'[1]301838'!$G$2:$G$46,1,0)</f>
        <v>128159.09</v>
      </c>
      <c r="H18" t="e">
        <f t="shared" si="0"/>
        <v>#N/A</v>
      </c>
      <c r="N18" t="s">
        <v>252</v>
      </c>
      <c r="O18" t="s">
        <v>247</v>
      </c>
    </row>
    <row r="19" spans="1:15" x14ac:dyDescent="0.25">
      <c r="A19" s="17" t="s">
        <v>46</v>
      </c>
      <c r="B19" s="19" t="s">
        <v>61</v>
      </c>
      <c r="C19" s="20" t="s">
        <v>101</v>
      </c>
      <c r="D19" s="43" t="s">
        <v>204</v>
      </c>
      <c r="E19" s="30">
        <v>276919.57</v>
      </c>
      <c r="G19">
        <f>+VLOOKUP(E19,'[1]301838'!$G$2:$G$46,1,0)</f>
        <v>276919.57</v>
      </c>
      <c r="H19" t="e">
        <f t="shared" si="0"/>
        <v>#N/A</v>
      </c>
      <c r="N19" t="s">
        <v>89</v>
      </c>
      <c r="O19" t="s">
        <v>247</v>
      </c>
    </row>
    <row r="20" spans="1:15" ht="15.75" x14ac:dyDescent="0.25">
      <c r="A20" s="17" t="s">
        <v>57</v>
      </c>
      <c r="B20" s="19" t="s">
        <v>74</v>
      </c>
      <c r="C20" s="20" t="s">
        <v>61</v>
      </c>
      <c r="D20" s="74" t="s">
        <v>204</v>
      </c>
      <c r="E20" s="30">
        <v>135064.81</v>
      </c>
      <c r="G20">
        <f>+VLOOKUP(E20,'[1]301838'!$G$2:$G$46,1,0)</f>
        <v>135064.81</v>
      </c>
      <c r="H20" t="e">
        <f t="shared" si="0"/>
        <v>#N/A</v>
      </c>
      <c r="N20" t="s">
        <v>88</v>
      </c>
      <c r="O20" t="s">
        <v>247</v>
      </c>
    </row>
    <row r="21" spans="1:15" ht="15.75" x14ac:dyDescent="0.25">
      <c r="A21" s="17" t="s">
        <v>55</v>
      </c>
      <c r="B21" s="19" t="s">
        <v>72</v>
      </c>
      <c r="C21" s="20" t="s">
        <v>61</v>
      </c>
      <c r="D21" s="74" t="s">
        <v>204</v>
      </c>
      <c r="E21" s="75">
        <v>30605.53</v>
      </c>
      <c r="G21">
        <f>+VLOOKUP(E21,'[1]301838'!$G$2:$G$46,1,0)</f>
        <v>30605.53</v>
      </c>
      <c r="H21" t="e">
        <f t="shared" si="0"/>
        <v>#N/A</v>
      </c>
      <c r="N21" t="s">
        <v>87</v>
      </c>
      <c r="O21" t="s">
        <v>247</v>
      </c>
    </row>
    <row r="22" spans="1:15" x14ac:dyDescent="0.25">
      <c r="A22" s="17" t="s">
        <v>28</v>
      </c>
      <c r="B22" s="19" t="s">
        <v>61</v>
      </c>
      <c r="C22" s="20" t="s">
        <v>89</v>
      </c>
      <c r="D22" s="23" t="s">
        <v>256</v>
      </c>
      <c r="E22" s="18">
        <v>477756.17</v>
      </c>
      <c r="G22">
        <f>+VLOOKUP(E22,'[1]301838'!$G$2:$G$46,1,0)</f>
        <v>477756.17</v>
      </c>
      <c r="H22" t="e">
        <f t="shared" si="0"/>
        <v>#N/A</v>
      </c>
      <c r="N22" t="s">
        <v>62</v>
      </c>
      <c r="O22" t="s">
        <v>247</v>
      </c>
    </row>
    <row r="23" spans="1:15" x14ac:dyDescent="0.25">
      <c r="A23" s="17" t="s">
        <v>29</v>
      </c>
      <c r="B23" s="19" t="s">
        <v>62</v>
      </c>
      <c r="C23" s="20" t="s">
        <v>61</v>
      </c>
      <c r="D23" s="23" t="s">
        <v>256</v>
      </c>
      <c r="E23" s="72">
        <v>179627.09</v>
      </c>
      <c r="G23">
        <f>+VLOOKUP(E23,'[1]301838'!$G$2:$G$46,1,0)</f>
        <v>179627.09</v>
      </c>
      <c r="H23" t="e">
        <f t="shared" si="0"/>
        <v>#N/A</v>
      </c>
      <c r="N23" t="s">
        <v>101</v>
      </c>
      <c r="O23" t="s">
        <v>248</v>
      </c>
    </row>
    <row r="24" spans="1:15" x14ac:dyDescent="0.25">
      <c r="A24" s="17" t="s">
        <v>27</v>
      </c>
      <c r="B24" s="19" t="s">
        <v>61</v>
      </c>
      <c r="C24" s="20" t="s">
        <v>88</v>
      </c>
      <c r="D24" s="23" t="s">
        <v>256</v>
      </c>
      <c r="E24" s="18">
        <v>171231.6</v>
      </c>
      <c r="G24">
        <f>+VLOOKUP(E24,'[1]301838'!$G$2:$G$46,1,0)</f>
        <v>171231.6</v>
      </c>
      <c r="H24" t="e">
        <f t="shared" si="0"/>
        <v>#N/A</v>
      </c>
      <c r="N24" t="s">
        <v>72</v>
      </c>
      <c r="O24" t="s">
        <v>248</v>
      </c>
    </row>
    <row r="25" spans="1:15" x14ac:dyDescent="0.25">
      <c r="A25" s="17" t="s">
        <v>26</v>
      </c>
      <c r="B25" s="19" t="s">
        <v>61</v>
      </c>
      <c r="C25" s="20" t="s">
        <v>87</v>
      </c>
      <c r="D25" s="23" t="s">
        <v>256</v>
      </c>
      <c r="E25" s="18">
        <v>35434.65</v>
      </c>
      <c r="F25" s="23" t="s">
        <v>112</v>
      </c>
      <c r="G25">
        <f>+VLOOKUP(E25,'[1]301838'!$G$2:$G$46,1,0)</f>
        <v>35434.65</v>
      </c>
      <c r="H25" t="e">
        <f t="shared" si="0"/>
        <v>#N/A</v>
      </c>
      <c r="N25" t="s">
        <v>74</v>
      </c>
      <c r="O25" t="s">
        <v>248</v>
      </c>
    </row>
    <row r="26" spans="1:15" x14ac:dyDescent="0.25">
      <c r="A26" s="17" t="s">
        <v>47</v>
      </c>
      <c r="B26" s="19" t="s">
        <v>61</v>
      </c>
      <c r="C26" s="20" t="s">
        <v>102</v>
      </c>
      <c r="D26" s="43" t="s">
        <v>266</v>
      </c>
      <c r="E26" s="30">
        <v>127618.85</v>
      </c>
      <c r="G26">
        <f>+VLOOKUP(E26,'[1]301838'!$G$2:$G$46,1,0)</f>
        <v>127618.85</v>
      </c>
      <c r="H26" t="e">
        <f t="shared" si="0"/>
        <v>#N/A</v>
      </c>
      <c r="N26" t="s">
        <v>97</v>
      </c>
      <c r="O26" t="s">
        <v>248</v>
      </c>
    </row>
    <row r="27" spans="1:15" x14ac:dyDescent="0.25">
      <c r="A27" s="17" t="s">
        <v>51</v>
      </c>
      <c r="B27" s="19" t="s">
        <v>68</v>
      </c>
      <c r="C27" s="20" t="s">
        <v>61</v>
      </c>
      <c r="D27" s="43" t="s">
        <v>266</v>
      </c>
      <c r="E27" s="30">
        <v>58874.6</v>
      </c>
      <c r="G27">
        <f>+VLOOKUP(E27,'[1]301838'!$G$2:$G$46,1,0)</f>
        <v>58874.6</v>
      </c>
      <c r="H27" t="e">
        <f t="shared" si="0"/>
        <v>#N/A</v>
      </c>
      <c r="N27" t="s">
        <v>99</v>
      </c>
      <c r="O27" t="s">
        <v>248</v>
      </c>
    </row>
    <row r="28" spans="1:15" x14ac:dyDescent="0.25">
      <c r="A28" s="17" t="s">
        <v>52</v>
      </c>
      <c r="B28" s="19" t="s">
        <v>69</v>
      </c>
      <c r="C28" s="20" t="s">
        <v>61</v>
      </c>
      <c r="D28" s="43" t="s">
        <v>266</v>
      </c>
      <c r="E28" s="30">
        <v>4931.92</v>
      </c>
      <c r="G28">
        <f>+VLOOKUP(E28,'[1]301838'!$G$2:$G$46,1,0)</f>
        <v>4931.92</v>
      </c>
      <c r="H28" t="e">
        <f t="shared" si="0"/>
        <v>#N/A</v>
      </c>
      <c r="N28" t="s">
        <v>102</v>
      </c>
      <c r="O28" t="s">
        <v>248</v>
      </c>
    </row>
    <row r="29" spans="1:15" x14ac:dyDescent="0.25">
      <c r="A29" s="17" t="s">
        <v>60</v>
      </c>
      <c r="B29" s="19" t="s">
        <v>77</v>
      </c>
      <c r="C29" s="20" t="s">
        <v>61</v>
      </c>
      <c r="D29" s="43" t="s">
        <v>263</v>
      </c>
      <c r="E29" s="30">
        <v>403670.29000000004</v>
      </c>
      <c r="G29">
        <f>+VLOOKUP(E29,'[1]301838'!$G$2:$G$46,1,0)</f>
        <v>403670.29000000004</v>
      </c>
      <c r="H29" t="e">
        <f t="shared" si="0"/>
        <v>#N/A</v>
      </c>
      <c r="N29" t="s">
        <v>75</v>
      </c>
      <c r="O29" t="s">
        <v>248</v>
      </c>
    </row>
    <row r="30" spans="1:15" x14ac:dyDescent="0.25">
      <c r="A30" s="17" t="s">
        <v>41</v>
      </c>
      <c r="B30" s="19" t="s">
        <v>67</v>
      </c>
      <c r="C30" s="20" t="s">
        <v>61</v>
      </c>
      <c r="D30" s="23" t="s">
        <v>230</v>
      </c>
      <c r="E30" s="72">
        <v>230660.26</v>
      </c>
      <c r="G30">
        <f>+VLOOKUP(E30,'[1]301838'!$G$2:$G$46,1,0)</f>
        <v>230660.26</v>
      </c>
      <c r="H30" t="e">
        <f t="shared" si="0"/>
        <v>#N/A</v>
      </c>
      <c r="N30" t="s">
        <v>73</v>
      </c>
      <c r="O30" t="s">
        <v>248</v>
      </c>
    </row>
    <row r="31" spans="1:15" x14ac:dyDescent="0.25">
      <c r="A31" s="17" t="s">
        <v>39</v>
      </c>
      <c r="B31" s="19" t="s">
        <v>66</v>
      </c>
      <c r="C31" s="20" t="s">
        <v>61</v>
      </c>
      <c r="D31" s="23" t="s">
        <v>260</v>
      </c>
      <c r="E31" s="18">
        <v>116971.23999999999</v>
      </c>
      <c r="G31">
        <f>+VLOOKUP(E31,'[1]301838'!$G$2:$G$46,1,0)</f>
        <v>116971.23999999999</v>
      </c>
      <c r="H31" t="e">
        <f t="shared" si="0"/>
        <v>#N/A</v>
      </c>
      <c r="N31" t="s">
        <v>103</v>
      </c>
      <c r="O31" t="s">
        <v>248</v>
      </c>
    </row>
    <row r="32" spans="1:15" x14ac:dyDescent="0.25">
      <c r="A32" s="17" t="s">
        <v>49</v>
      </c>
      <c r="B32" s="19" t="s">
        <v>61</v>
      </c>
      <c r="C32" s="20" t="s">
        <v>104</v>
      </c>
      <c r="D32" s="43" t="s">
        <v>213</v>
      </c>
      <c r="E32" s="30">
        <v>83847.55</v>
      </c>
      <c r="G32">
        <f>+VLOOKUP(E32,'[1]301838'!$G$2:$G$46,1,0)</f>
        <v>83847.55</v>
      </c>
      <c r="H32" t="e">
        <f t="shared" si="0"/>
        <v>#N/A</v>
      </c>
      <c r="N32" t="s">
        <v>76</v>
      </c>
      <c r="O32" t="s">
        <v>248</v>
      </c>
    </row>
    <row r="33" spans="1:15" x14ac:dyDescent="0.25">
      <c r="A33" s="17" t="s">
        <v>54</v>
      </c>
      <c r="B33" s="19" t="s">
        <v>71</v>
      </c>
      <c r="C33" s="20" t="s">
        <v>61</v>
      </c>
      <c r="D33" s="43" t="s">
        <v>215</v>
      </c>
      <c r="E33" s="30">
        <v>389256.04</v>
      </c>
      <c r="G33">
        <f>+VLOOKUP(E33,'[1]301838'!$G$2:$G$46,1,0)</f>
        <v>389256.04</v>
      </c>
      <c r="H33" t="e">
        <f t="shared" si="0"/>
        <v>#N/A</v>
      </c>
      <c r="N33" t="s">
        <v>70</v>
      </c>
      <c r="O33" t="s">
        <v>248</v>
      </c>
    </row>
    <row r="34" spans="1:15" x14ac:dyDescent="0.25">
      <c r="A34" s="17" t="s">
        <v>45</v>
      </c>
      <c r="B34" s="19" t="s">
        <v>61</v>
      </c>
      <c r="C34" s="20" t="s">
        <v>100</v>
      </c>
      <c r="D34" s="43" t="s">
        <v>215</v>
      </c>
      <c r="E34" s="30">
        <v>24436.27</v>
      </c>
      <c r="G34">
        <f>+VLOOKUP(E34,'[1]301838'!$G$2:$G$46,1,0)</f>
        <v>24436.27</v>
      </c>
      <c r="H34" t="e">
        <f t="shared" si="0"/>
        <v>#N/A</v>
      </c>
      <c r="N34" t="s">
        <v>105</v>
      </c>
      <c r="O34" t="s">
        <v>248</v>
      </c>
    </row>
    <row r="35" spans="1:15" x14ac:dyDescent="0.25">
      <c r="A35" s="17" t="s">
        <v>50</v>
      </c>
      <c r="B35" s="19" t="s">
        <v>61</v>
      </c>
      <c r="C35" s="20" t="s">
        <v>105</v>
      </c>
      <c r="D35" s="43" t="s">
        <v>212</v>
      </c>
      <c r="E35" s="30">
        <v>19723.510000000002</v>
      </c>
      <c r="G35">
        <f>+VLOOKUP(E35,'[1]301838'!$G$2:$G$46,1,0)</f>
        <v>19723.510000000002</v>
      </c>
      <c r="H35" t="e">
        <f t="shared" si="0"/>
        <v>#N/A</v>
      </c>
      <c r="N35" t="s">
        <v>77</v>
      </c>
      <c r="O35" t="s">
        <v>248</v>
      </c>
    </row>
    <row r="36" spans="1:15" x14ac:dyDescent="0.25">
      <c r="A36" s="17" t="s">
        <v>40</v>
      </c>
      <c r="B36" s="19" t="s">
        <v>61</v>
      </c>
      <c r="C36" s="20" t="s">
        <v>96</v>
      </c>
      <c r="D36" s="23" t="s">
        <v>231</v>
      </c>
      <c r="E36" s="72">
        <v>1950899.6400000001</v>
      </c>
      <c r="G36">
        <f>+VLOOKUP(E36,'[1]301838'!$G$2:$G$46,1,0)</f>
        <v>1950899.6400000001</v>
      </c>
      <c r="H36" t="e">
        <f t="shared" si="0"/>
        <v>#N/A</v>
      </c>
      <c r="N36" t="s">
        <v>98</v>
      </c>
      <c r="O36" t="s">
        <v>248</v>
      </c>
    </row>
    <row r="37" spans="1:15" x14ac:dyDescent="0.25">
      <c r="A37" s="17" t="s">
        <v>17</v>
      </c>
      <c r="B37" s="19" t="s">
        <v>61</v>
      </c>
      <c r="C37" s="20" t="s">
        <v>78</v>
      </c>
      <c r="D37" s="23" t="s">
        <v>220</v>
      </c>
      <c r="E37" s="72">
        <v>13108.05</v>
      </c>
      <c r="G37">
        <f>+VLOOKUP(E37,'[1]301838'!$G$2:$G$46,1,0)</f>
        <v>13108.05</v>
      </c>
      <c r="H37" t="e">
        <f t="shared" si="0"/>
        <v>#N/A</v>
      </c>
      <c r="N37" t="s">
        <v>68</v>
      </c>
      <c r="O37" t="s">
        <v>248</v>
      </c>
    </row>
    <row r="38" spans="1:15" x14ac:dyDescent="0.25">
      <c r="A38" s="17" t="s">
        <v>18</v>
      </c>
      <c r="B38" s="19" t="s">
        <v>61</v>
      </c>
      <c r="C38" s="20" t="s">
        <v>79</v>
      </c>
      <c r="D38" s="23" t="s">
        <v>221</v>
      </c>
      <c r="E38" s="72">
        <v>63365.74</v>
      </c>
      <c r="G38">
        <f>+VLOOKUP(E38,'[1]301838'!$G$2:$G$46,1,0)</f>
        <v>63365.74</v>
      </c>
      <c r="H38" t="e">
        <f t="shared" si="0"/>
        <v>#N/A</v>
      </c>
      <c r="N38" t="s">
        <v>69</v>
      </c>
      <c r="O38" t="s">
        <v>248</v>
      </c>
    </row>
    <row r="39" spans="1:15" x14ac:dyDescent="0.25">
      <c r="A39" s="17" t="s">
        <v>19</v>
      </c>
      <c r="B39" s="19" t="s">
        <v>61</v>
      </c>
      <c r="C39" s="20" t="s">
        <v>80</v>
      </c>
      <c r="D39" s="23" t="s">
        <v>222</v>
      </c>
      <c r="E39" s="72">
        <v>206552.86</v>
      </c>
      <c r="G39">
        <f>+VLOOKUP(E39,'[1]301838'!$G$2:$G$46,1,0)</f>
        <v>206552.86</v>
      </c>
      <c r="H39" t="e">
        <f t="shared" si="0"/>
        <v>#N/A</v>
      </c>
      <c r="N39" t="s">
        <v>253</v>
      </c>
      <c r="O39" t="s">
        <v>248</v>
      </c>
    </row>
    <row r="40" spans="1:15" x14ac:dyDescent="0.25">
      <c r="A40" s="17" t="s">
        <v>20</v>
      </c>
      <c r="B40" s="19" t="s">
        <v>61</v>
      </c>
      <c r="C40" s="20" t="s">
        <v>81</v>
      </c>
      <c r="D40" s="23" t="s">
        <v>223</v>
      </c>
      <c r="E40" s="72">
        <v>530944.09</v>
      </c>
      <c r="G40">
        <f>+VLOOKUP(E40,'[1]301838'!$G$2:$G$46,1,0)</f>
        <v>530944.09</v>
      </c>
      <c r="H40" t="e">
        <f t="shared" si="0"/>
        <v>#N/A</v>
      </c>
      <c r="N40" t="s">
        <v>104</v>
      </c>
      <c r="O40" t="s">
        <v>248</v>
      </c>
    </row>
    <row r="41" spans="1:15" x14ac:dyDescent="0.25">
      <c r="A41" s="17" t="s">
        <v>21</v>
      </c>
      <c r="B41" s="19" t="s">
        <v>61</v>
      </c>
      <c r="C41" s="20" t="s">
        <v>82</v>
      </c>
      <c r="D41" s="23" t="s">
        <v>224</v>
      </c>
      <c r="E41" s="72">
        <v>232217.22999999998</v>
      </c>
      <c r="G41">
        <f>+VLOOKUP(E41,'[1]301838'!$G$2:$G$46,1,0)</f>
        <v>232217.22999999998</v>
      </c>
      <c r="H41" t="e">
        <f t="shared" si="0"/>
        <v>#N/A</v>
      </c>
      <c r="N41" t="s">
        <v>100</v>
      </c>
      <c r="O41" t="s">
        <v>248</v>
      </c>
    </row>
    <row r="42" spans="1:15" x14ac:dyDescent="0.25">
      <c r="A42" s="17" t="s">
        <v>22</v>
      </c>
      <c r="B42" s="19" t="s">
        <v>61</v>
      </c>
      <c r="C42" s="20" t="s">
        <v>83</v>
      </c>
      <c r="D42" s="23" t="s">
        <v>225</v>
      </c>
      <c r="E42" s="72">
        <v>90596.62000000001</v>
      </c>
      <c r="G42">
        <f>+VLOOKUP(E42,'[1]301838'!$G$2:$G$46,1,0)</f>
        <v>90596.62000000001</v>
      </c>
      <c r="H42" t="e">
        <f t="shared" si="0"/>
        <v>#N/A</v>
      </c>
      <c r="N42" t="s">
        <v>71</v>
      </c>
      <c r="O42" t="s">
        <v>248</v>
      </c>
    </row>
    <row r="43" spans="1:15" x14ac:dyDescent="0.25">
      <c r="A43" s="17" t="s">
        <v>23</v>
      </c>
      <c r="B43" s="19" t="s">
        <v>61</v>
      </c>
      <c r="C43" s="20" t="s">
        <v>84</v>
      </c>
      <c r="D43" s="23" t="s">
        <v>226</v>
      </c>
      <c r="E43" s="72">
        <v>25910.77</v>
      </c>
      <c r="G43">
        <f>+VLOOKUP(E43,'[1]301838'!$G$2:$G$46,1,0)</f>
        <v>25910.77</v>
      </c>
      <c r="H43" t="e">
        <f t="shared" si="0"/>
        <v>#N/A</v>
      </c>
      <c r="N43" t="s">
        <v>254</v>
      </c>
      <c r="O43" t="s">
        <v>249</v>
      </c>
    </row>
    <row r="44" spans="1:15" x14ac:dyDescent="0.25">
      <c r="A44" s="17" t="s">
        <v>24</v>
      </c>
      <c r="B44" s="19" t="s">
        <v>61</v>
      </c>
      <c r="C44" s="20" t="s">
        <v>85</v>
      </c>
      <c r="D44" s="23" t="s">
        <v>227</v>
      </c>
      <c r="E44" s="72">
        <v>17562.689999999999</v>
      </c>
      <c r="G44">
        <f>+VLOOKUP(E44,'[1]301838'!$G$2:$G$46,1,0)</f>
        <v>17562.689999999999</v>
      </c>
      <c r="H44" t="e">
        <f t="shared" si="0"/>
        <v>#N/A</v>
      </c>
      <c r="N44" t="s">
        <v>94</v>
      </c>
      <c r="O44" t="s">
        <v>249</v>
      </c>
    </row>
    <row r="45" spans="1:15" x14ac:dyDescent="0.25">
      <c r="A45" s="17" t="s">
        <v>25</v>
      </c>
      <c r="B45" s="19" t="s">
        <v>61</v>
      </c>
      <c r="C45" s="20" t="s">
        <v>86</v>
      </c>
      <c r="D45" s="23" t="s">
        <v>219</v>
      </c>
      <c r="E45" s="72">
        <v>181532.14</v>
      </c>
      <c r="G45">
        <f>+VLOOKUP(E45,'[1]301838'!$G$2:$G$46,1,0)</f>
        <v>181532.14</v>
      </c>
      <c r="H45" t="e">
        <f t="shared" si="0"/>
        <v>#N/A</v>
      </c>
      <c r="N45" t="s">
        <v>95</v>
      </c>
      <c r="O45" t="s">
        <v>249</v>
      </c>
    </row>
    <row r="46" spans="1:15" x14ac:dyDescent="0.25">
      <c r="E46" s="18">
        <f>+SUM(E2:E45)</f>
        <v>8998882.7899999972</v>
      </c>
      <c r="F46" s="73">
        <f>+'[1]301838'!$G$46-E46</f>
        <v>0</v>
      </c>
      <c r="N46" t="s">
        <v>255</v>
      </c>
      <c r="O46" t="s">
        <v>249</v>
      </c>
    </row>
    <row r="47" spans="1:15" x14ac:dyDescent="0.25">
      <c r="N47" t="s">
        <v>93</v>
      </c>
      <c r="O47" t="s">
        <v>249</v>
      </c>
    </row>
    <row r="48" spans="1:15" x14ac:dyDescent="0.25">
      <c r="N48" t="s">
        <v>66</v>
      </c>
      <c r="O48" t="s">
        <v>250</v>
      </c>
    </row>
  </sheetData>
  <autoFilter ref="A1:E45" xr:uid="{69D44954-AED0-46BE-BB8A-FBB4F4A272FB}">
    <sortState xmlns:xlrd2="http://schemas.microsoft.com/office/spreadsheetml/2017/richdata2" ref="A2:E46">
      <sortCondition ref="D1:D45"/>
    </sortState>
  </autoFilter>
  <phoneticPr fontId="8" type="noConversion"/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D355E-AB8D-4C71-A25C-B5425702FE55}">
  <dimension ref="A2:G70"/>
  <sheetViews>
    <sheetView workbookViewId="0">
      <selection activeCell="F11" sqref="F11:F12"/>
    </sheetView>
  </sheetViews>
  <sheetFormatPr defaultRowHeight="15" x14ac:dyDescent="0.25"/>
  <cols>
    <col min="1" max="1" width="32.7109375" bestFit="1" customWidth="1"/>
    <col min="2" max="2" width="33" bestFit="1" customWidth="1"/>
    <col min="3" max="3" width="13.85546875" bestFit="1" customWidth="1"/>
    <col min="4" max="4" width="30.28515625" bestFit="1" customWidth="1"/>
    <col min="7" max="7" width="12.5703125" bestFit="1" customWidth="1"/>
  </cols>
  <sheetData>
    <row r="2" spans="1:5" x14ac:dyDescent="0.25">
      <c r="A2" s="24" t="s">
        <v>126</v>
      </c>
      <c r="B2" s="46" t="s">
        <v>262</v>
      </c>
      <c r="C2" s="82">
        <v>389234.7</v>
      </c>
      <c r="D2" t="str">
        <f>+VLOOKUP(A2,'[2]Summary By Fund'!$A$10:$A$76,1,0)</f>
        <v>Inv Dev Mrkts Fd A</v>
      </c>
      <c r="E2">
        <f>+VLOOKUP(C2,'[2]Summary By Fund'!$J$10:$J$77,1,0)</f>
        <v>389234.7</v>
      </c>
    </row>
    <row r="3" spans="1:5" ht="15.75" x14ac:dyDescent="0.25">
      <c r="A3" s="24" t="s">
        <v>148</v>
      </c>
      <c r="B3" s="44" t="s">
        <v>218</v>
      </c>
      <c r="C3" s="84">
        <v>15681.34</v>
      </c>
      <c r="D3" t="e">
        <f>+VLOOKUP(A3,'[2]Summary By Fund'!$A$10:$A$76,1,0)</f>
        <v>#N/A</v>
      </c>
      <c r="E3">
        <f>+VLOOKUP(C3,'[2]Summary By Fund'!$J$10:$J$77,1,0)</f>
        <v>15681.34</v>
      </c>
    </row>
    <row r="4" spans="1:5" ht="15.75" x14ac:dyDescent="0.25">
      <c r="A4" s="24" t="s">
        <v>116</v>
      </c>
      <c r="B4" s="44" t="s">
        <v>216</v>
      </c>
      <c r="C4" s="82">
        <v>34712.300000000003</v>
      </c>
      <c r="D4" t="e">
        <f>+VLOOKUP(A4,'[2]Summary By Fund'!$A$10:$A$76,1,0)</f>
        <v>#N/A</v>
      </c>
      <c r="E4">
        <f>+VLOOKUP(C4,'[2]Summary By Fund'!$J$10:$J$77,1,0)</f>
        <v>34712.300000000003</v>
      </c>
    </row>
    <row r="5" spans="1:5" ht="15.75" x14ac:dyDescent="0.25">
      <c r="A5" s="24" t="s">
        <v>124</v>
      </c>
      <c r="B5" s="44" t="s">
        <v>216</v>
      </c>
      <c r="C5" s="82">
        <v>64118.6</v>
      </c>
      <c r="D5" t="e">
        <f>+VLOOKUP(A5,'[2]Summary By Fund'!$A$10:$A$76,1,0)</f>
        <v>#N/A</v>
      </c>
      <c r="E5">
        <f>+VLOOKUP(C5,'[2]Summary By Fund'!$J$10:$J$77,1,0)</f>
        <v>64118.6</v>
      </c>
    </row>
    <row r="6" spans="1:5" ht="15.75" x14ac:dyDescent="0.25">
      <c r="A6" s="24" t="s">
        <v>162</v>
      </c>
      <c r="B6" s="44" t="s">
        <v>239</v>
      </c>
      <c r="C6" s="84">
        <v>35848.6</v>
      </c>
      <c r="D6" t="e">
        <f>+VLOOKUP(A6,'[2]Summary By Fund'!$A$10:$A$76,1,0)</f>
        <v>#N/A</v>
      </c>
      <c r="E6">
        <f>+VLOOKUP(C6,'[2]Summary By Fund'!$J$10:$J$77,1,0)</f>
        <v>35848.6</v>
      </c>
    </row>
    <row r="7" spans="1:5" x14ac:dyDescent="0.25">
      <c r="A7" s="24" t="s">
        <v>135</v>
      </c>
      <c r="B7" s="46" t="s">
        <v>229</v>
      </c>
      <c r="C7" s="78">
        <v>78399.320000000007</v>
      </c>
      <c r="D7" t="e">
        <f>+VLOOKUP(A7,'[2]Summary By Fund'!$A$10:$A$76,1,0)</f>
        <v>#N/A</v>
      </c>
      <c r="E7">
        <f>+VLOOKUP(C7,'[2]Summary By Fund'!$J$10:$J$77,1,0)</f>
        <v>78399.320000000007</v>
      </c>
    </row>
    <row r="8" spans="1:5" x14ac:dyDescent="0.25">
      <c r="A8" s="24" t="s">
        <v>132</v>
      </c>
      <c r="B8" s="46" t="s">
        <v>238</v>
      </c>
      <c r="C8" s="84">
        <v>35191.47</v>
      </c>
      <c r="D8" t="e">
        <f>+VLOOKUP(A8,'[2]Summary By Fund'!$A$10:$A$76,1,0)</f>
        <v>#N/A</v>
      </c>
      <c r="E8">
        <f>+VLOOKUP(C8,'[2]Summary By Fund'!$J$10:$J$77,1,0)</f>
        <v>35191.47</v>
      </c>
    </row>
    <row r="9" spans="1:5" ht="15.75" x14ac:dyDescent="0.25">
      <c r="A9" s="24" t="s">
        <v>14</v>
      </c>
      <c r="B9" s="44" t="s">
        <v>258</v>
      </c>
      <c r="C9" s="83">
        <v>211434.67</v>
      </c>
      <c r="D9" t="e">
        <f>+VLOOKUP(A9,'[2]Summary By Fund'!$A$10:$A$76,1,0)</f>
        <v>#N/A</v>
      </c>
      <c r="E9">
        <f>+VLOOKUP(C9,'[2]Summary By Fund'!$J$10:$J$77,1,0)</f>
        <v>211434.67</v>
      </c>
    </row>
    <row r="10" spans="1:5" ht="15.75" x14ac:dyDescent="0.25">
      <c r="A10" s="24" t="s">
        <v>147</v>
      </c>
      <c r="B10" s="44" t="s">
        <v>258</v>
      </c>
      <c r="C10" s="84">
        <v>150226.43</v>
      </c>
      <c r="D10" t="e">
        <f>+VLOOKUP(A10,'[2]Summary By Fund'!$A$10:$A$76,1,0)</f>
        <v>#N/A</v>
      </c>
      <c r="E10">
        <f>+VLOOKUP(C10,'[2]Summary By Fund'!$J$10:$J$77,1,0)</f>
        <v>150226.43</v>
      </c>
    </row>
    <row r="11" spans="1:5" ht="15.75" x14ac:dyDescent="0.25">
      <c r="A11" s="24" t="s">
        <v>119</v>
      </c>
      <c r="B11" s="44" t="s">
        <v>207</v>
      </c>
      <c r="C11" s="86">
        <v>227912.74</v>
      </c>
      <c r="D11" t="e">
        <f>+VLOOKUP(A11,'[2]Summary By Fund'!$A$10:$A$76,1,0)</f>
        <v>#N/A</v>
      </c>
      <c r="E11">
        <f>+VLOOKUP(C11,'[2]Summary By Fund'!$J$10:$J$77,1,0)</f>
        <v>227912.74</v>
      </c>
    </row>
    <row r="12" spans="1:5" x14ac:dyDescent="0.25">
      <c r="A12" s="24" t="s">
        <v>134</v>
      </c>
      <c r="B12" s="46" t="s">
        <v>207</v>
      </c>
      <c r="C12" s="84">
        <v>212421.15</v>
      </c>
      <c r="D12" t="str">
        <f>+VLOOKUP(A12,'[2]Summary By Fund'!$A$10:$A$76,1,0)</f>
        <v>Pioneer Fund VCT Portfolio I</v>
      </c>
      <c r="E12">
        <f>+VLOOKUP(C12,'[2]Summary By Fund'!$J$10:$J$77,1,0)</f>
        <v>212421.15</v>
      </c>
    </row>
    <row r="13" spans="1:5" ht="15.75" x14ac:dyDescent="0.25">
      <c r="A13" s="24" t="s">
        <v>142</v>
      </c>
      <c r="B13" s="44" t="s">
        <v>207</v>
      </c>
      <c r="C13" s="83">
        <v>318521.28000000003</v>
      </c>
      <c r="D13" t="str">
        <f>+VLOOKUP(A13,'[2]Summary By Fund'!$A$10:$A$76,1,0)</f>
        <v>Voya Growth and Income Port I</v>
      </c>
      <c r="E13">
        <f>+VLOOKUP(C13,'[2]Summary By Fund'!$J$10:$J$77,1,0)</f>
        <v>318521.28000000003</v>
      </c>
    </row>
    <row r="14" spans="1:5" ht="15.75" x14ac:dyDescent="0.25">
      <c r="A14" s="24" t="s">
        <v>143</v>
      </c>
      <c r="B14" s="44" t="s">
        <v>207</v>
      </c>
      <c r="C14" s="77">
        <v>52524.23</v>
      </c>
      <c r="D14" t="str">
        <f>+VLOOKUP(A14,'[2]Summary By Fund'!$A$10:$A$76,1,0)</f>
        <v>Voya Growth and Income Port S</v>
      </c>
      <c r="E14">
        <f>+VLOOKUP(C14,'[2]Summary By Fund'!$J$10:$J$77,1,0)</f>
        <v>52524.23</v>
      </c>
    </row>
    <row r="15" spans="1:5" ht="15.75" x14ac:dyDescent="0.25">
      <c r="A15" s="24" t="s">
        <v>144</v>
      </c>
      <c r="B15" s="44" t="s">
        <v>207</v>
      </c>
      <c r="C15" s="77">
        <v>216042.88</v>
      </c>
      <c r="D15" t="e">
        <f>+VLOOKUP(A15,'[2]Summary By Fund'!$A$10:$A$76,1,0)</f>
        <v>#N/A</v>
      </c>
      <c r="E15">
        <f>+VLOOKUP(C15,'[2]Summary By Fund'!$J$10:$J$77,1,0)</f>
        <v>216042.88</v>
      </c>
    </row>
    <row r="16" spans="1:5" ht="15.75" x14ac:dyDescent="0.25">
      <c r="A16" s="24" t="s">
        <v>166</v>
      </c>
      <c r="B16" s="45" t="s">
        <v>207</v>
      </c>
      <c r="C16" s="78">
        <v>29812.85</v>
      </c>
      <c r="D16" t="e">
        <f>+VLOOKUP(A16,'[2]Summary By Fund'!$A$10:$A$76,1,0)</f>
        <v>#N/A</v>
      </c>
      <c r="E16">
        <f>+VLOOKUP(C16,'[2]Summary By Fund'!$J$10:$J$77,1,0)</f>
        <v>29812.85</v>
      </c>
    </row>
    <row r="17" spans="1:7" x14ac:dyDescent="0.25">
      <c r="A17" s="24" t="s">
        <v>117</v>
      </c>
      <c r="B17" s="46" t="s">
        <v>209</v>
      </c>
      <c r="C17" s="78">
        <v>503407.26</v>
      </c>
      <c r="D17" t="str">
        <f>+VLOOKUP(A17,'[2]Summary By Fund'!$A$10:$A$76,1,0)</f>
        <v>American Funds Growth Fnd R4</v>
      </c>
      <c r="E17">
        <f>+VLOOKUP(C17,'[2]Summary By Fund'!$J$10:$J$77,1,0)</f>
        <v>503407.26</v>
      </c>
    </row>
    <row r="18" spans="1:7" ht="15.75" x14ac:dyDescent="0.25">
      <c r="A18" s="24" t="s">
        <v>121</v>
      </c>
      <c r="B18" s="44" t="s">
        <v>209</v>
      </c>
      <c r="C18" s="82">
        <v>1130101.69</v>
      </c>
      <c r="D18" t="e">
        <f>+VLOOKUP(A18,'[2]Summary By Fund'!$A$10:$A$76,1,0)</f>
        <v>#N/A</v>
      </c>
      <c r="E18">
        <f>+VLOOKUP(C18,'[2]Summary By Fund'!$J$10:$J$77,1,0)</f>
        <v>1130101.69</v>
      </c>
    </row>
    <row r="19" spans="1:7" ht="15.75" x14ac:dyDescent="0.25">
      <c r="A19" s="24" t="s">
        <v>123</v>
      </c>
      <c r="B19" s="44" t="s">
        <v>209</v>
      </c>
      <c r="C19" s="82">
        <v>738373.73</v>
      </c>
      <c r="D19" t="e">
        <f>+VLOOKUP(A19,'[2]Summary By Fund'!$A$10:$A$76,1,0)</f>
        <v>#N/A</v>
      </c>
      <c r="E19">
        <f>+VLOOKUP(C19,'[2]Summary By Fund'!$J$10:$J$77,1,0)</f>
        <v>738373.73</v>
      </c>
    </row>
    <row r="20" spans="1:7" ht="15.75" x14ac:dyDescent="0.25">
      <c r="A20" s="24" t="s">
        <v>127</v>
      </c>
      <c r="B20" s="44" t="s">
        <v>209</v>
      </c>
      <c r="C20" s="78">
        <v>31750.37</v>
      </c>
      <c r="D20" t="e">
        <f>+VLOOKUP(A20,'[2]Summary By Fund'!$A$10:$A$76,1,0)</f>
        <v>#N/A</v>
      </c>
      <c r="E20">
        <f>+VLOOKUP(C20,'[2]Summary By Fund'!$J$10:$J$77,1,0)</f>
        <v>31750.37</v>
      </c>
    </row>
    <row r="21" spans="1:7" ht="15.75" x14ac:dyDescent="0.25">
      <c r="A21" s="24" t="s">
        <v>149</v>
      </c>
      <c r="B21" s="44" t="s">
        <v>209</v>
      </c>
      <c r="C21" s="78">
        <v>546592.38</v>
      </c>
      <c r="D21" t="e">
        <f>+VLOOKUP(A21,'[2]Summary By Fund'!$A$10:$A$76,1,0)</f>
        <v>#N/A</v>
      </c>
      <c r="E21">
        <f>+VLOOKUP(C21,'[2]Summary By Fund'!$J$10:$J$77,1,0)</f>
        <v>546592.38</v>
      </c>
    </row>
    <row r="22" spans="1:7" ht="15.75" x14ac:dyDescent="0.25">
      <c r="A22" s="24" t="s">
        <v>174</v>
      </c>
      <c r="B22" s="44" t="s">
        <v>209</v>
      </c>
      <c r="C22" s="78">
        <v>717003.67</v>
      </c>
      <c r="D22" t="e">
        <f>+VLOOKUP(A22,'[2]Summary By Fund'!$A$10:$A$76,1,0)</f>
        <v>#N/A</v>
      </c>
      <c r="E22">
        <f>+VLOOKUP(C22,'[2]Summary By Fund'!$J$10:$J$77,1,0)</f>
        <v>717003.67</v>
      </c>
    </row>
    <row r="23" spans="1:7" ht="15.75" x14ac:dyDescent="0.25">
      <c r="A23" s="85" t="s">
        <v>122</v>
      </c>
      <c r="B23" s="44" t="s">
        <v>204</v>
      </c>
      <c r="C23" s="82">
        <v>149691.88</v>
      </c>
      <c r="D23" t="e">
        <f>+VLOOKUP(A23,'[2]Summary By Fund'!$A$10:$A$76,1,0)</f>
        <v>#N/A</v>
      </c>
      <c r="E23">
        <f>+VLOOKUP(C23,'[2]Summary By Fund'!$J$10:$J$77,1,0)</f>
        <v>149691.88</v>
      </c>
    </row>
    <row r="24" spans="1:7" x14ac:dyDescent="0.25">
      <c r="A24" s="85" t="s">
        <v>128</v>
      </c>
      <c r="B24" s="46" t="s">
        <v>204</v>
      </c>
      <c r="C24" s="78">
        <v>159297.60000000001</v>
      </c>
      <c r="D24" t="e">
        <f>+VLOOKUP(A24,'[2]Summary By Fund'!$A$10:$A$76,1,0)</f>
        <v>#N/A</v>
      </c>
      <c r="E24">
        <f>+VLOOKUP(C24,'[2]Summary By Fund'!$J$10:$J$77,1,0)</f>
        <v>159297.60000000001</v>
      </c>
    </row>
    <row r="25" spans="1:7" x14ac:dyDescent="0.25">
      <c r="A25" s="24" t="s">
        <v>130</v>
      </c>
      <c r="B25" s="46" t="s">
        <v>204</v>
      </c>
      <c r="C25" s="78">
        <v>73774.039999999994</v>
      </c>
      <c r="D25" t="e">
        <f>+VLOOKUP(A25,'[2]Summary By Fund'!$A$10:$A$76,1,0)</f>
        <v>#N/A</v>
      </c>
      <c r="E25">
        <f>+VLOOKUP(C25,'[2]Summary By Fund'!$J$10:$J$77,1,0)</f>
        <v>73774.039999999994</v>
      </c>
    </row>
    <row r="26" spans="1:7" x14ac:dyDescent="0.25">
      <c r="A26" s="24" t="s">
        <v>133</v>
      </c>
      <c r="B26" s="46" t="s">
        <v>204</v>
      </c>
      <c r="C26" s="78">
        <v>167429.76999999999</v>
      </c>
      <c r="D26" t="e">
        <f>+VLOOKUP(A26,'[2]Summary By Fund'!$A$10:$A$76,1,0)</f>
        <v>#N/A</v>
      </c>
      <c r="E26">
        <f>+VLOOKUP(C26,'[2]Summary By Fund'!$J$10:$J$77,1,0)</f>
        <v>167429.76999999999</v>
      </c>
    </row>
    <row r="27" spans="1:7" ht="15.75" x14ac:dyDescent="0.25">
      <c r="A27" s="24" t="s">
        <v>168</v>
      </c>
      <c r="B27" s="44" t="s">
        <v>204</v>
      </c>
      <c r="C27" s="78">
        <v>105910.02</v>
      </c>
      <c r="D27" t="str">
        <f>+VLOOKUP(A27,'[2]Summary By Fund'!$A$10:$A$76,1,0)</f>
        <v>VY Invesco Comstock Port Srv</v>
      </c>
      <c r="E27">
        <f>+VLOOKUP(C27,'[2]Summary By Fund'!$J$10:$J$77,1,0)</f>
        <v>105910.02</v>
      </c>
    </row>
    <row r="28" spans="1:7" ht="15.75" x14ac:dyDescent="0.25">
      <c r="A28" s="24" t="s">
        <v>173</v>
      </c>
      <c r="B28" s="44" t="s">
        <v>204</v>
      </c>
      <c r="C28" s="78">
        <v>33400.49</v>
      </c>
      <c r="D28" t="e">
        <f>+VLOOKUP(A28,'[2]Summary By Fund'!$A$10:$A$76,1,0)</f>
        <v>#N/A</v>
      </c>
      <c r="E28">
        <f>+VLOOKUP(C28,'[2]Summary By Fund'!$J$10:$J$77,1,0)</f>
        <v>33400.49</v>
      </c>
    </row>
    <row r="29" spans="1:7" x14ac:dyDescent="0.25">
      <c r="A29" s="24" t="s">
        <v>115</v>
      </c>
      <c r="B29" s="46" t="s">
        <v>256</v>
      </c>
      <c r="C29" s="78">
        <v>55154.97</v>
      </c>
      <c r="D29" t="str">
        <f>+VLOOKUP(A29,'[2]Summary By Fund'!$A$10:$A$76,1,0)</f>
        <v>American Funds Am Balanced R4</v>
      </c>
      <c r="E29">
        <f>+VLOOKUP(C29,'[2]Summary By Fund'!$J$10:$J$77,1,0)</f>
        <v>55154.97</v>
      </c>
      <c r="G29" s="79">
        <f>+SUM(C29:C37)</f>
        <v>702146.28999999992</v>
      </c>
    </row>
    <row r="30" spans="1:7" x14ac:dyDescent="0.25">
      <c r="A30" s="24" t="s">
        <v>120</v>
      </c>
      <c r="B30" s="46" t="s">
        <v>256</v>
      </c>
      <c r="C30" s="78">
        <v>281341.03999999998</v>
      </c>
      <c r="D30" t="e">
        <f>+VLOOKUP(A30,'[2]Summary By Fund'!$A$10:$A$76,1,0)</f>
        <v>#N/A</v>
      </c>
      <c r="E30">
        <f>+VLOOKUP(C30,'[2]Summary By Fund'!$J$10:$J$77,1,0)</f>
        <v>281341.03999999998</v>
      </c>
      <c r="G30">
        <f>+COUNT(C58:C64)</f>
        <v>7</v>
      </c>
    </row>
    <row r="31" spans="1:7" x14ac:dyDescent="0.25">
      <c r="A31" s="24" t="s">
        <v>131</v>
      </c>
      <c r="B31" s="46" t="s">
        <v>256</v>
      </c>
      <c r="C31" s="78">
        <v>31396.75</v>
      </c>
      <c r="D31" t="str">
        <f>+VLOOKUP(A31,'[2]Summary By Fund'!$A$10:$A$76,1,0)</f>
        <v>Pax Sust Alloc Fund Inv</v>
      </c>
      <c r="E31">
        <f>+VLOOKUP(C31,'[2]Summary By Fund'!$J$10:$J$77,1,0)</f>
        <v>31396.75</v>
      </c>
      <c r="G31" s="27">
        <f>+G29/8</f>
        <v>87768.28624999999</v>
      </c>
    </row>
    <row r="32" spans="1:7" x14ac:dyDescent="0.25">
      <c r="A32" s="24" t="s">
        <v>138</v>
      </c>
      <c r="B32" s="46" t="s">
        <v>256</v>
      </c>
      <c r="C32" s="78">
        <v>38352.769999999997</v>
      </c>
      <c r="D32" t="str">
        <f>+VLOOKUP(A32,'[2]Summary By Fund'!$A$10:$A$76,1,0)</f>
        <v>Voya Balanced Portfolio I</v>
      </c>
      <c r="E32">
        <f>+VLOOKUP(C32,'[2]Summary By Fund'!$J$10:$J$77,1,0)</f>
        <v>38352.769999999997</v>
      </c>
    </row>
    <row r="33" spans="1:5" x14ac:dyDescent="0.25">
      <c r="A33" s="24" t="s">
        <v>159</v>
      </c>
      <c r="B33" s="46" t="s">
        <v>256</v>
      </c>
      <c r="C33" s="78">
        <v>51855.23</v>
      </c>
      <c r="D33" t="e">
        <f>+VLOOKUP(A33,'[2]Summary By Fund'!$A$10:$A$76,1,0)</f>
        <v>#N/A</v>
      </c>
      <c r="E33">
        <f>+VLOOKUP(C33,'[2]Summary By Fund'!$J$10:$J$77,1,0)</f>
        <v>51855.23</v>
      </c>
    </row>
    <row r="34" spans="1:5" x14ac:dyDescent="0.25">
      <c r="A34" s="24" t="s">
        <v>160</v>
      </c>
      <c r="B34" s="46" t="s">
        <v>256</v>
      </c>
      <c r="C34" s="78">
        <v>54474.17</v>
      </c>
      <c r="D34" t="e">
        <f>+VLOOKUP(A34,'[2]Summary By Fund'!$A$10:$A$76,1,0)</f>
        <v>#N/A</v>
      </c>
      <c r="E34">
        <f>+VLOOKUP(C34,'[2]Summary By Fund'!$J$10:$J$77,1,0)</f>
        <v>54474.17</v>
      </c>
    </row>
    <row r="35" spans="1:5" x14ac:dyDescent="0.25">
      <c r="A35" s="24" t="s">
        <v>161</v>
      </c>
      <c r="B35" s="46" t="s">
        <v>256</v>
      </c>
      <c r="C35" s="78">
        <v>43400.92</v>
      </c>
      <c r="D35" t="e">
        <f>+VLOOKUP(A35,'[2]Summary By Fund'!$A$10:$A$76,1,0)</f>
        <v>#N/A</v>
      </c>
      <c r="E35">
        <f>+VLOOKUP(C35,'[2]Summary By Fund'!$J$10:$J$77,1,0)</f>
        <v>43400.92</v>
      </c>
    </row>
    <row r="36" spans="1:5" x14ac:dyDescent="0.25">
      <c r="A36" s="24" t="s">
        <v>169</v>
      </c>
      <c r="B36" s="46" t="s">
        <v>256</v>
      </c>
      <c r="C36" s="78">
        <v>146011.96</v>
      </c>
      <c r="D36" t="e">
        <f>+VLOOKUP(A36,'[2]Summary By Fund'!$A$10:$A$76,1,0)</f>
        <v>#N/A</v>
      </c>
      <c r="E36">
        <f>+VLOOKUP(C36,'[2]Summary By Fund'!$J$10:$J$77,1,0)</f>
        <v>146011.96</v>
      </c>
    </row>
    <row r="37" spans="1:5" x14ac:dyDescent="0.25">
      <c r="A37" s="24" t="s">
        <v>170</v>
      </c>
      <c r="B37" s="46" t="s">
        <v>256</v>
      </c>
      <c r="C37" s="78">
        <v>158.47999999999999</v>
      </c>
      <c r="D37" t="e">
        <f>+VLOOKUP(A37,'[2]Summary By Fund'!$A$10:$A$76,1,0)</f>
        <v>#N/A</v>
      </c>
      <c r="E37">
        <f>+VLOOKUP(C37,'[2]Summary By Fund'!$J$10:$J$77,1,0)</f>
        <v>158.47999999999999</v>
      </c>
    </row>
    <row r="38" spans="1:5" x14ac:dyDescent="0.25">
      <c r="A38" s="24" t="s">
        <v>145</v>
      </c>
      <c r="B38" s="46" t="s">
        <v>210</v>
      </c>
      <c r="C38" s="78">
        <v>594276.48</v>
      </c>
      <c r="D38" t="e">
        <f>+VLOOKUP(A38,'[2]Summary By Fund'!$A$10:$A$76,1,0)</f>
        <v>#N/A</v>
      </c>
      <c r="E38">
        <f>+VLOOKUP(C38,'[2]Summary By Fund'!$J$10:$J$77,1,0)</f>
        <v>594276.48</v>
      </c>
    </row>
    <row r="39" spans="1:5" ht="15.75" x14ac:dyDescent="0.25">
      <c r="A39" s="85" t="s">
        <v>151</v>
      </c>
      <c r="B39" s="44" t="s">
        <v>266</v>
      </c>
      <c r="C39" s="78">
        <v>160401.44</v>
      </c>
      <c r="D39" t="e">
        <f>+VLOOKUP(A39,'[2]Summary By Fund'!$A$10:$A$76,1,0)</f>
        <v>#N/A</v>
      </c>
      <c r="E39">
        <f>+VLOOKUP(C39,'[2]Summary By Fund'!$J$10:$J$77,1,0)</f>
        <v>160401.44</v>
      </c>
    </row>
    <row r="40" spans="1:5" ht="15.75" x14ac:dyDescent="0.25">
      <c r="A40" s="24" t="s">
        <v>164</v>
      </c>
      <c r="B40" s="44" t="s">
        <v>266</v>
      </c>
      <c r="C40" s="78">
        <v>548319.84</v>
      </c>
      <c r="D40" t="str">
        <f>+VLOOKUP(A40,'[2]Summary By Fund'!$A$10:$A$76,1,0)</f>
        <v>VY Baron Growth Port Srv</v>
      </c>
      <c r="E40">
        <f>+VLOOKUP(C40,'[2]Summary By Fund'!$J$10:$J$77,1,0)</f>
        <v>548319.84</v>
      </c>
    </row>
    <row r="41" spans="1:5" x14ac:dyDescent="0.25">
      <c r="A41" s="24" t="s">
        <v>172</v>
      </c>
      <c r="B41" s="46" t="s">
        <v>266</v>
      </c>
      <c r="C41" s="78">
        <v>494885.81</v>
      </c>
      <c r="D41" t="e">
        <f>+VLOOKUP(A41,'[2]Summary By Fund'!$A$10:$A$76,1,0)</f>
        <v>#N/A</v>
      </c>
      <c r="E41">
        <f>+VLOOKUP(C41,'[2]Summary By Fund'!$J$10:$J$77,1,0)</f>
        <v>494885.81</v>
      </c>
    </row>
    <row r="42" spans="1:5" x14ac:dyDescent="0.25">
      <c r="A42" s="24" t="s">
        <v>175</v>
      </c>
      <c r="B42" s="46" t="s">
        <v>266</v>
      </c>
      <c r="C42" s="78">
        <v>101721.94</v>
      </c>
      <c r="D42" t="str">
        <f>+VLOOKUP(A42,'[2]Summary By Fund'!$A$10:$A$76,1,0)</f>
        <v>Wanger Select</v>
      </c>
      <c r="E42">
        <f>+VLOOKUP(C42,'[2]Summary By Fund'!$J$10:$J$77,1,0)</f>
        <v>101721.94</v>
      </c>
    </row>
    <row r="43" spans="1:5" x14ac:dyDescent="0.25">
      <c r="A43" s="24" t="s">
        <v>129</v>
      </c>
      <c r="B43" s="46" t="s">
        <v>263</v>
      </c>
      <c r="C43" s="78">
        <v>45705.18</v>
      </c>
      <c r="D43" t="e">
        <f>+VLOOKUP(A43,'[2]Summary By Fund'!$A$10:$A$76,1,0)</f>
        <v>#N/A</v>
      </c>
      <c r="E43">
        <f>+VLOOKUP(C43,'[2]Summary By Fund'!$J$10:$J$77,1,0)</f>
        <v>45705.18</v>
      </c>
    </row>
    <row r="44" spans="1:5" x14ac:dyDescent="0.25">
      <c r="A44" s="81" t="s">
        <v>136</v>
      </c>
      <c r="B44" s="46" t="s">
        <v>263</v>
      </c>
      <c r="C44" s="78">
        <v>103017.86</v>
      </c>
      <c r="D44" t="e">
        <f>+VLOOKUP(A44,'[2]Summary By Fund'!$A$10:$A$76,1,0)</f>
        <v>#N/A</v>
      </c>
    </row>
    <row r="45" spans="1:5" ht="15.75" x14ac:dyDescent="0.25">
      <c r="A45" s="24" t="s">
        <v>163</v>
      </c>
      <c r="B45" s="44" t="s">
        <v>263</v>
      </c>
      <c r="C45" s="78">
        <v>88627.51</v>
      </c>
      <c r="D45" t="e">
        <f>+VLOOKUP(A45,'[2]Summary By Fund'!$A$10:$A$76,1,0)</f>
        <v>#N/A</v>
      </c>
      <c r="E45">
        <f>+VLOOKUP(C45,'[2]Summary By Fund'!$J$10:$J$77,1,0)</f>
        <v>88627.51</v>
      </c>
    </row>
    <row r="46" spans="1:5" x14ac:dyDescent="0.25">
      <c r="A46" s="81" t="s">
        <v>171</v>
      </c>
      <c r="B46" s="46" t="s">
        <v>263</v>
      </c>
      <c r="C46" s="78">
        <v>110673.05</v>
      </c>
      <c r="D46" t="e">
        <f>+VLOOKUP(A46,'[2]Summary By Fund'!$A$10:$A$76,1,0)</f>
        <v>#N/A</v>
      </c>
    </row>
    <row r="47" spans="1:5" x14ac:dyDescent="0.25">
      <c r="A47" s="24" t="s">
        <v>141</v>
      </c>
      <c r="B47" s="46" t="s">
        <v>230</v>
      </c>
      <c r="C47" s="77">
        <v>0</v>
      </c>
      <c r="D47" t="e">
        <f>+VLOOKUP(A47,'[2]Summary By Fund'!$A$10:$A$76,1,0)</f>
        <v>#N/A</v>
      </c>
      <c r="E47">
        <f>+VLOOKUP(C47,'[2]Summary By Fund'!$J$10:$J$77,1,0)</f>
        <v>0</v>
      </c>
    </row>
    <row r="48" spans="1:5" ht="15.75" x14ac:dyDescent="0.25">
      <c r="A48" s="81" t="s">
        <v>137</v>
      </c>
      <c r="B48" s="45" t="s">
        <v>264</v>
      </c>
      <c r="C48" s="78">
        <v>203003.66</v>
      </c>
      <c r="D48" t="str">
        <f>+VLOOKUP(A48,'[2]Summary By Fund'!$A$10:$A$76,1,0)</f>
        <v>Templeton Global Bond Fund A</v>
      </c>
    </row>
    <row r="49" spans="1:5" x14ac:dyDescent="0.25">
      <c r="A49" s="24" t="s">
        <v>165</v>
      </c>
      <c r="B49" s="46" t="s">
        <v>260</v>
      </c>
      <c r="C49" s="78">
        <v>30886.74</v>
      </c>
      <c r="D49" t="e">
        <f>+VLOOKUP(A49,'[2]Summary By Fund'!$A$10:$A$76,1,0)</f>
        <v>#N/A</v>
      </c>
      <c r="E49">
        <f>+VLOOKUP(C49,'[2]Summary By Fund'!$J$10:$J$77,1,0)</f>
        <v>30886.74</v>
      </c>
    </row>
    <row r="50" spans="1:5" x14ac:dyDescent="0.25">
      <c r="A50" s="24" t="s">
        <v>146</v>
      </c>
      <c r="B50" s="46" t="s">
        <v>213</v>
      </c>
      <c r="C50" s="77">
        <v>179269.52</v>
      </c>
      <c r="D50" t="e">
        <f>+VLOOKUP(A50,'[2]Summary By Fund'!$A$10:$A$76,1,0)</f>
        <v>#N/A</v>
      </c>
      <c r="E50">
        <f>+VLOOKUP(C50,'[2]Summary By Fund'!$J$10:$J$77,1,0)</f>
        <v>179269.52</v>
      </c>
    </row>
    <row r="51" spans="1:5" ht="15.75" x14ac:dyDescent="0.25">
      <c r="A51" s="24" t="s">
        <v>152</v>
      </c>
      <c r="B51" s="44" t="s">
        <v>213</v>
      </c>
      <c r="C51" s="78">
        <v>77467.16</v>
      </c>
      <c r="D51" t="e">
        <f>+VLOOKUP(A51,'[2]Summary By Fund'!$A$10:$A$76,1,0)</f>
        <v>#N/A</v>
      </c>
      <c r="E51">
        <f>+VLOOKUP(C51,'[2]Summary By Fund'!$J$10:$J$77,1,0)</f>
        <v>77467.16</v>
      </c>
    </row>
    <row r="52" spans="1:5" ht="15.75" x14ac:dyDescent="0.25">
      <c r="A52" s="24" t="s">
        <v>153</v>
      </c>
      <c r="B52" s="44" t="s">
        <v>215</v>
      </c>
      <c r="C52" s="78">
        <v>92839.3</v>
      </c>
      <c r="D52" t="e">
        <f>+VLOOKUP(A52,'[2]Summary By Fund'!$A$10:$A$76,1,0)</f>
        <v>#N/A</v>
      </c>
      <c r="E52">
        <f>+VLOOKUP(C52,'[2]Summary By Fund'!$J$10:$J$77,1,0)</f>
        <v>92839.3</v>
      </c>
    </row>
    <row r="53" spans="1:5" x14ac:dyDescent="0.25">
      <c r="A53" s="24" t="s">
        <v>176</v>
      </c>
      <c r="B53" s="46" t="s">
        <v>215</v>
      </c>
      <c r="C53" s="78">
        <v>132537.22</v>
      </c>
      <c r="D53" t="str">
        <f>+VLOOKUP(A53,'[2]Summary By Fund'!$A$10:$A$76,1,0)</f>
        <v>Wanger USA</v>
      </c>
      <c r="E53">
        <f>+VLOOKUP(C53,'[2]Summary By Fund'!$J$10:$J$77,1,0)</f>
        <v>132537.22</v>
      </c>
    </row>
    <row r="54" spans="1:5" x14ac:dyDescent="0.25">
      <c r="A54" s="24" t="s">
        <v>125</v>
      </c>
      <c r="B54" s="46" t="s">
        <v>212</v>
      </c>
      <c r="C54" s="82">
        <v>139852.98000000001</v>
      </c>
      <c r="D54" t="e">
        <f>+VLOOKUP(A54,'[2]Summary By Fund'!$A$10:$A$76,1,0)</f>
        <v>#N/A</v>
      </c>
      <c r="E54">
        <f>+VLOOKUP(C54,'[2]Summary By Fund'!$J$10:$J$77,1,0)</f>
        <v>139852.98000000001</v>
      </c>
    </row>
    <row r="55" spans="1:5" x14ac:dyDescent="0.25">
      <c r="A55" s="24" t="s">
        <v>177</v>
      </c>
      <c r="B55" s="41" t="s">
        <v>212</v>
      </c>
      <c r="C55" s="78">
        <v>160229.13</v>
      </c>
      <c r="D55" t="e">
        <f>+VLOOKUP(A55,'[2]Summary By Fund'!$A$10:$A$76,1,0)</f>
        <v>#N/A</v>
      </c>
      <c r="E55">
        <f>+VLOOKUP(C55,'[2]Summary By Fund'!$J$10:$J$77,1,0)</f>
        <v>160229.13</v>
      </c>
    </row>
    <row r="56" spans="1:5" x14ac:dyDescent="0.25">
      <c r="A56" s="25" t="s">
        <v>139</v>
      </c>
      <c r="B56" s="46" t="s">
        <v>231</v>
      </c>
      <c r="C56" s="78">
        <v>3148343.76</v>
      </c>
      <c r="D56" t="e">
        <f>+VLOOKUP(A56,'[2]Summary By Fund'!$A$10:$A$76,1,0)</f>
        <v>#N/A</v>
      </c>
      <c r="E56">
        <f>+VLOOKUP(C56,'[2]Summary By Fund'!$J$10:$J$77,1,0)</f>
        <v>3148343.76</v>
      </c>
    </row>
    <row r="57" spans="1:5" x14ac:dyDescent="0.25">
      <c r="A57" s="24" t="s">
        <v>150</v>
      </c>
      <c r="B57" s="46" t="s">
        <v>231</v>
      </c>
      <c r="C57" s="78">
        <v>342.73</v>
      </c>
      <c r="D57" t="str">
        <f>+VLOOKUP(A57,'[2]Summary By Fund'!$A$10:$A$76,1,0)</f>
        <v>Voya Long-Term GAA (4560)</v>
      </c>
      <c r="E57">
        <f>+VLOOKUP(C57,'[2]Summary By Fund'!$J$10:$J$77,1,0)</f>
        <v>342.73</v>
      </c>
    </row>
    <row r="58" spans="1:5" x14ac:dyDescent="0.25">
      <c r="A58" s="24" t="s">
        <v>154</v>
      </c>
      <c r="B58" s="46" t="s">
        <v>221</v>
      </c>
      <c r="C58" s="78">
        <v>5946.8</v>
      </c>
      <c r="D58" t="e">
        <f>+VLOOKUP(A58,'[2]Summary By Fund'!$A$10:$A$76,1,0)</f>
        <v>#N/A</v>
      </c>
      <c r="E58">
        <f>+VLOOKUP(C58,'[2]Summary By Fund'!$J$10:$J$77,1,0)</f>
        <v>5946.8</v>
      </c>
    </row>
    <row r="59" spans="1:5" x14ac:dyDescent="0.25">
      <c r="A59" s="24" t="s">
        <v>155</v>
      </c>
      <c r="B59" s="46" t="s">
        <v>223</v>
      </c>
      <c r="C59" s="78">
        <v>33629.599999999999</v>
      </c>
      <c r="D59" t="e">
        <f>+VLOOKUP(A59,'[2]Summary By Fund'!$A$10:$A$76,1,0)</f>
        <v>#N/A</v>
      </c>
      <c r="E59">
        <f>+VLOOKUP(C59,'[2]Summary By Fund'!$J$10:$J$77,1,0)</f>
        <v>33629.599999999999</v>
      </c>
    </row>
    <row r="60" spans="1:5" x14ac:dyDescent="0.25">
      <c r="A60" s="80" t="s">
        <v>331</v>
      </c>
      <c r="B60" s="41" t="s">
        <v>224</v>
      </c>
      <c r="C60" s="77">
        <v>6847.94</v>
      </c>
      <c r="E60">
        <f>+VLOOKUP(C60,'[2]Summary By Fund'!$J$10:$J$77,1,0)</f>
        <v>6847.94</v>
      </c>
    </row>
    <row r="61" spans="1:5" x14ac:dyDescent="0.25">
      <c r="A61" s="24" t="s">
        <v>156</v>
      </c>
      <c r="B61" s="46" t="s">
        <v>225</v>
      </c>
      <c r="C61" s="78">
        <v>98604.1</v>
      </c>
      <c r="D61" t="e">
        <f>+VLOOKUP(A61,'[2]Summary By Fund'!$A$10:$A$76,1,0)</f>
        <v>#N/A</v>
      </c>
      <c r="E61">
        <f>+VLOOKUP(C61,'[2]Summary By Fund'!$J$10:$J$77,1,0)</f>
        <v>98604.1</v>
      </c>
    </row>
    <row r="62" spans="1:5" x14ac:dyDescent="0.25">
      <c r="A62" s="80" t="s">
        <v>332</v>
      </c>
      <c r="B62" s="41" t="s">
        <v>226</v>
      </c>
      <c r="C62" s="77">
        <v>386.16</v>
      </c>
      <c r="E62">
        <f>+VLOOKUP(C62,'[2]Summary By Fund'!$J$10:$J$77,1,0)</f>
        <v>386.16</v>
      </c>
    </row>
    <row r="63" spans="1:5" x14ac:dyDescent="0.25">
      <c r="A63" s="24" t="s">
        <v>157</v>
      </c>
      <c r="B63" s="46" t="s">
        <v>227</v>
      </c>
      <c r="C63" s="78">
        <v>25634.67</v>
      </c>
      <c r="D63" t="e">
        <f>+VLOOKUP(A63,'[2]Summary By Fund'!$A$10:$A$76,1,0)</f>
        <v>#N/A</v>
      </c>
      <c r="E63">
        <f>+VLOOKUP(C63,'[2]Summary By Fund'!$J$10:$J$77,1,0)</f>
        <v>25634.67</v>
      </c>
    </row>
    <row r="64" spans="1:5" x14ac:dyDescent="0.25">
      <c r="A64" s="80" t="s">
        <v>333</v>
      </c>
      <c r="B64" s="41" t="s">
        <v>268</v>
      </c>
      <c r="C64" s="77">
        <v>4265.49</v>
      </c>
      <c r="E64">
        <f>+VLOOKUP(C64,'[2]Summary By Fund'!$J$10:$J$77,1,0)</f>
        <v>4265.49</v>
      </c>
    </row>
    <row r="65" spans="1:5" x14ac:dyDescent="0.25">
      <c r="A65" s="24" t="s">
        <v>158</v>
      </c>
      <c r="B65" s="46" t="s">
        <v>219</v>
      </c>
      <c r="C65" s="78">
        <v>61597.73</v>
      </c>
      <c r="D65" t="e">
        <f>+VLOOKUP(A65,'[2]Summary By Fund'!$A$10:$A$76,1,0)</f>
        <v>#N/A</v>
      </c>
      <c r="E65">
        <f>+VLOOKUP(C65,'[2]Summary By Fund'!$J$10:$J$77,1,0)</f>
        <v>61597.73</v>
      </c>
    </row>
    <row r="66" spans="1:5" ht="15.75" x14ac:dyDescent="0.25">
      <c r="A66" s="24" t="s">
        <v>140</v>
      </c>
      <c r="B66" s="44" t="s">
        <v>265</v>
      </c>
      <c r="C66" s="77">
        <v>25277.61</v>
      </c>
      <c r="D66" t="str">
        <f>+VLOOKUP(A66,'[2]Summary By Fund'!$A$10:$A$76,1,0)</f>
        <v>Voya Global Bond Port I</v>
      </c>
      <c r="E66">
        <f>+VLOOKUP(C66,'[2]Summary By Fund'!$J$10:$J$77,1,0)</f>
        <v>25277.61</v>
      </c>
    </row>
    <row r="67" spans="1:5" ht="15.75" x14ac:dyDescent="0.25">
      <c r="A67" s="24" t="s">
        <v>118</v>
      </c>
      <c r="B67" s="44" t="s">
        <v>261</v>
      </c>
      <c r="C67" s="78">
        <v>282664.2</v>
      </c>
      <c r="D67" t="e">
        <f>+VLOOKUP(A67,'[2]Summary By Fund'!$A$10:$A$76,1,0)</f>
        <v>#N/A</v>
      </c>
      <c r="E67">
        <f>+VLOOKUP(C67,'[2]Summary By Fund'!$J$10:$J$77,1,0)</f>
        <v>282664.2</v>
      </c>
    </row>
    <row r="68" spans="1:5" ht="15.75" x14ac:dyDescent="0.25">
      <c r="A68" s="24" t="s">
        <v>167</v>
      </c>
      <c r="B68" s="44" t="s">
        <v>267</v>
      </c>
      <c r="C68" s="78">
        <v>877464.75</v>
      </c>
      <c r="D68" t="str">
        <f>+VLOOKUP(A68,'[2]Summary By Fund'!$A$10:$A$76,1,0)</f>
        <v>VY Inv Glob Portf - Init Cl</v>
      </c>
      <c r="E68">
        <f>+VLOOKUP(C68,'[2]Summary By Fund'!$J$10:$J$77,1,0)</f>
        <v>877464.75</v>
      </c>
    </row>
    <row r="69" spans="1:5" x14ac:dyDescent="0.25">
      <c r="C69" s="26">
        <f>+SUM(C2:C68)</f>
        <v>14965682.110000001</v>
      </c>
    </row>
    <row r="70" spans="1:5" x14ac:dyDescent="0.25">
      <c r="C70" s="79">
        <f>+C69-'[2]Summary By Fund'!$J$77</f>
        <v>0</v>
      </c>
    </row>
  </sheetData>
  <autoFilter ref="A1:D1" xr:uid="{030D355E-AB8D-4C71-A25C-B5425702FE55}">
    <sortState xmlns:xlrd2="http://schemas.microsoft.com/office/spreadsheetml/2017/richdata2" ref="A2:D70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Representative Lineup</vt:lpstr>
      <vt:lpstr>Plan_Data</vt:lpstr>
      <vt:lpstr>Sheet5</vt:lpstr>
      <vt:lpstr>ogsp</vt:lpstr>
      <vt:lpstr>ICMA</vt:lpstr>
      <vt:lpstr>voya</vt:lpstr>
    </vt:vector>
  </TitlesOfParts>
  <Company>USI Insurance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kassandra.ramos</dc:creator>
  <cp:lastModifiedBy>Brandon Zima</cp:lastModifiedBy>
  <cp:lastPrinted>2018-03-28T19:51:40Z</cp:lastPrinted>
  <dcterms:created xsi:type="dcterms:W3CDTF">2012-08-31T13:15:38Z</dcterms:created>
  <dcterms:modified xsi:type="dcterms:W3CDTF">2022-02-18T16:33:17Z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